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12 FERAP\FY26\"/>
    </mc:Choice>
  </mc:AlternateContent>
  <xr:revisionPtr revIDLastSave="0" documentId="13_ncr:1_{557BCBB4-8C1F-48C9-AE71-AB7A846CC322}" xr6:coauthVersionLast="47" xr6:coauthVersionMax="47" xr10:uidLastSave="{00000000-0000-0000-0000-000000000000}"/>
  <bookViews>
    <workbookView xWindow="28680" yWindow="-120" windowWidth="29040" windowHeight="15720" tabRatio="732" firstSheet="1" activeTab="1" xr2:uid="{6990974F-7DE2-44A2-9A23-27687988A875}"/>
  </bookViews>
  <sheets>
    <sheet name="Original" sheetId="4" state="hidden" r:id="rId1"/>
    <sheet name="AY" sheetId="6" r:id="rId2"/>
    <sheet name="FY" sheetId="3" r:id="rId3"/>
    <sheet name="AY_Option 1" sheetId="1" state="hidden" r:id="rId4"/>
    <sheet name="Notes" sheetId="7" r:id="rId5"/>
    <sheet name="Lists" sheetId="2" state="hidden" r:id="rId6"/>
  </sheets>
  <definedNames>
    <definedName name="_xlnm.Print_Area" localSheetId="1">AY!$B$1:$R$19</definedName>
    <definedName name="_xlnm.Print_Area" localSheetId="3">'AY_Option 1'!$B$1:$R$26</definedName>
    <definedName name="_xlnm.Print_Area" localSheetId="2">FY!$B$1:$R$26</definedName>
    <definedName name="_xlnm.Print_Area" localSheetId="0">Original!$A$1:$Q$26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C28" i="3"/>
  <c r="C18" i="3"/>
  <c r="C17" i="3"/>
  <c r="C27" i="6"/>
  <c r="C26" i="6"/>
  <c r="C25" i="6"/>
  <c r="C37" i="6" s="1"/>
  <c r="J13" i="6"/>
  <c r="C22" i="3" l="1"/>
  <c r="C21" i="3"/>
  <c r="C31" i="6"/>
  <c r="C30" i="6"/>
  <c r="K16" i="6"/>
  <c r="K13" i="6"/>
  <c r="F13" i="6"/>
  <c r="D13" i="6"/>
  <c r="J10" i="4"/>
  <c r="D10" i="3"/>
  <c r="C16" i="6"/>
  <c r="K23" i="1"/>
  <c r="C23" i="1"/>
  <c r="K13" i="1"/>
  <c r="J13" i="1"/>
  <c r="J20" i="4"/>
  <c r="I20" i="4"/>
  <c r="C20" i="4"/>
  <c r="G21" i="4" s="1"/>
  <c r="J17" i="4"/>
  <c r="J16" i="4"/>
  <c r="I16" i="4"/>
  <c r="E16" i="4"/>
  <c r="C16" i="4"/>
  <c r="J13" i="4"/>
  <c r="K13" i="4" s="1"/>
  <c r="I13" i="4"/>
  <c r="C13" i="4"/>
  <c r="F13" i="4" s="1"/>
  <c r="I10" i="4"/>
  <c r="E10" i="4"/>
  <c r="E13" i="4" s="1"/>
  <c r="C53" i="6" l="1"/>
  <c r="C54" i="6"/>
  <c r="C44" i="3"/>
  <c r="C45" i="3"/>
  <c r="C24" i="3"/>
  <c r="C30" i="3" s="1"/>
  <c r="C31" i="3" s="1"/>
  <c r="C33" i="6"/>
  <c r="C39" i="6" s="1"/>
  <c r="C40" i="6" s="1"/>
  <c r="D37" i="3"/>
  <c r="D38" i="3"/>
  <c r="D39" i="3"/>
  <c r="D40" i="3"/>
  <c r="D41" i="3"/>
  <c r="D42" i="3"/>
  <c r="C10" i="4"/>
  <c r="F10" i="4" s="1"/>
  <c r="G10" i="4" s="1"/>
  <c r="C17" i="4"/>
  <c r="C18" i="4" s="1"/>
  <c r="F16" i="4"/>
  <c r="G16" i="4" s="1"/>
  <c r="L13" i="6"/>
  <c r="L16" i="6" s="1"/>
  <c r="M16" i="6" s="1"/>
  <c r="F16" i="6"/>
  <c r="H16" i="6" s="1"/>
  <c r="G13" i="6"/>
  <c r="H13" i="6" s="1"/>
  <c r="F23" i="1"/>
  <c r="K17" i="4"/>
  <c r="L17" i="4" s="1"/>
  <c r="N17" i="4" s="1"/>
  <c r="O17" i="4" s="1"/>
  <c r="D16" i="6"/>
  <c r="D17" i="6" s="1"/>
  <c r="L13" i="4"/>
  <c r="G13" i="4"/>
  <c r="K20" i="4"/>
  <c r="E20" i="4"/>
  <c r="K16" i="4"/>
  <c r="L16" i="4" s="1"/>
  <c r="F20" i="4"/>
  <c r="C21" i="4"/>
  <c r="C22" i="4" s="1"/>
  <c r="D36" i="3" l="1"/>
  <c r="D46" i="6"/>
  <c r="D45" i="6"/>
  <c r="C33" i="3"/>
  <c r="N16" i="4"/>
  <c r="M13" i="6"/>
  <c r="O13" i="6" s="1"/>
  <c r="K10" i="4"/>
  <c r="L10" i="4" s="1"/>
  <c r="N10" i="4" s="1"/>
  <c r="N11" i="4" s="1"/>
  <c r="O16" i="6"/>
  <c r="P16" i="6" s="1"/>
  <c r="N13" i="4"/>
  <c r="N14" i="4" s="1"/>
  <c r="G16" i="6"/>
  <c r="O16" i="4"/>
  <c r="N18" i="4"/>
  <c r="L20" i="4"/>
  <c r="L21" i="4"/>
  <c r="N21" i="4" s="1"/>
  <c r="O21" i="4" s="1"/>
  <c r="K21" i="4"/>
  <c r="O10" i="4"/>
  <c r="F21" i="4"/>
  <c r="G20" i="4"/>
  <c r="O13" i="4" l="1"/>
  <c r="N20" i="4"/>
  <c r="N22" i="4" s="1"/>
  <c r="O17" i="6"/>
  <c r="P13" i="6"/>
  <c r="N19" i="4"/>
  <c r="O18" i="4"/>
  <c r="O20" i="4" l="1"/>
  <c r="O19" i="6"/>
  <c r="P17" i="6"/>
  <c r="N23" i="4"/>
  <c r="O22" i="4"/>
  <c r="D48" i="6" l="1"/>
  <c r="D49" i="6"/>
  <c r="D50" i="6"/>
  <c r="D51" i="6"/>
  <c r="D47" i="6"/>
  <c r="D20" i="1"/>
  <c r="H23" i="1" s="1"/>
  <c r="J20" i="1"/>
  <c r="F20" i="1" s="1"/>
  <c r="K20" i="1"/>
  <c r="D13" i="1"/>
  <c r="F13" i="1"/>
  <c r="K10" i="3"/>
  <c r="L10" i="3" s="1"/>
  <c r="J10" i="3"/>
  <c r="F10" i="3" s="1"/>
  <c r="M10" i="3" l="1"/>
  <c r="C42" i="6"/>
  <c r="D23" i="1"/>
  <c r="D24" i="1" s="1"/>
  <c r="G13" i="1"/>
  <c r="H13" i="1" s="1"/>
  <c r="L13" i="1"/>
  <c r="M13" i="1" s="1"/>
  <c r="G20" i="1"/>
  <c r="G23" i="1" s="1"/>
  <c r="L20" i="1"/>
  <c r="L23" i="1" s="1"/>
  <c r="M23" i="1" s="1"/>
  <c r="O23" i="1" s="1"/>
  <c r="P23" i="1" s="1"/>
  <c r="G10" i="3"/>
  <c r="H10" i="3" s="1"/>
  <c r="O10" i="3" l="1"/>
  <c r="P10" i="3" s="1"/>
  <c r="H20" i="1"/>
  <c r="M20" i="1"/>
  <c r="O13" i="1"/>
  <c r="O15" i="1" s="1"/>
  <c r="O12" i="3"/>
  <c r="O20" i="1" l="1"/>
  <c r="P13" i="1"/>
  <c r="P20" i="1" l="1"/>
  <c r="O24" i="1"/>
  <c r="O26" i="1" s="1"/>
  <c r="P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Guinn, Melissa J.</author>
  </authors>
  <commentList>
    <comment ref="D5" authorId="0" shapeId="0" xr:uid="{A141B6D6-231B-484F-A09A-721F6C3FE83A}">
      <text>
        <r>
          <rPr>
            <b/>
            <sz val="9"/>
            <color indexed="81"/>
            <rFont val="Tahoma"/>
            <family val="2"/>
          </rPr>
          <t>Enter AY Salary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" authorId="0" shapeId="0" xr:uid="{B4149353-6952-4EA8-A37C-6A8F492AC962}">
      <text>
        <r>
          <rPr>
            <b/>
            <sz val="9"/>
            <color indexed="81"/>
            <rFont val="Tahoma"/>
            <family val="2"/>
          </rPr>
          <t>Enter Salary Enhancement Percentage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" authorId="0" shapeId="0" xr:uid="{4BB42C54-34E5-4C01-A860-F597D2B2F134}">
      <text>
        <r>
          <rPr>
            <b/>
            <sz val="9"/>
            <color indexed="81"/>
            <rFont val="Tahoma"/>
            <family val="2"/>
          </rPr>
          <t>Enter FERAP Appointment FTE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B1FC63B8-AC2E-468C-A393-6ADBFAE6B04F}">
      <text>
        <r>
          <rPr>
            <b/>
            <sz val="9"/>
            <color indexed="81"/>
            <rFont val="Tahoma"/>
            <family val="2"/>
          </rPr>
          <t>Total summer weeks requested
(from enhanced and un-enhanced appointments)</t>
        </r>
      </text>
    </comment>
    <comment ref="L8" authorId="0" shapeId="0" xr:uid="{223E0636-1558-4F5D-9275-093B5C6B4BB7}">
      <text>
        <r>
          <rPr>
            <b/>
            <sz val="9"/>
            <color indexed="81"/>
            <rFont val="Tahoma"/>
            <family val="2"/>
          </rPr>
          <t>Summer weeks from enhanced appointment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Guinn, Melissa J.</author>
  </authors>
  <commentList>
    <comment ref="D5" authorId="0" shapeId="0" xr:uid="{2B46E072-7821-4927-A1A5-1A52AE88CE43}">
      <text>
        <r>
          <rPr>
            <b/>
            <sz val="9"/>
            <color indexed="81"/>
            <rFont val="Tahoma"/>
            <family val="2"/>
          </rPr>
          <t xml:space="preserve">Enter FY Salary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" authorId="0" shapeId="0" xr:uid="{E96BAE86-6C88-44AC-B8BC-054D3353151F}">
      <text>
        <r>
          <rPr>
            <b/>
            <sz val="9"/>
            <color indexed="81"/>
            <rFont val="Tahoma"/>
            <family val="2"/>
          </rPr>
          <t>Enter Salary Enhancement Percentage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" authorId="0" shapeId="0" xr:uid="{285406E1-C944-4D86-A820-B5EEA11BF6F8}">
      <text>
        <r>
          <rPr>
            <b/>
            <sz val="9"/>
            <color indexed="81"/>
            <rFont val="Tahoma"/>
            <family val="2"/>
          </rPr>
          <t>Enter FERAP Appointment FTE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Guinn, Melissa J.</author>
  </authors>
  <commentList>
    <comment ref="G8" authorId="0" shapeId="0" xr:uid="{203E3432-89EB-4C2A-8A2A-19C1FA465BF9}">
      <text>
        <r>
          <rPr>
            <b/>
            <sz val="9"/>
            <color indexed="81"/>
            <rFont val="Tahoma"/>
            <family val="2"/>
          </rPr>
          <t>Total summer weeks requested
(from enhanced and un-enhanced funding)</t>
        </r>
      </text>
    </comment>
    <comment ref="L8" authorId="0" shapeId="0" xr:uid="{4E1D40C4-439A-4613-A956-1362537A4A5E}">
      <text>
        <r>
          <rPr>
            <b/>
            <sz val="9"/>
            <color indexed="81"/>
            <rFont val="Tahoma"/>
            <family val="2"/>
          </rPr>
          <t>Summer weeks from enhanced funding only</t>
        </r>
      </text>
    </comment>
  </commentList>
</comments>
</file>

<file path=xl/sharedStrings.xml><?xml version="1.0" encoding="utf-8"?>
<sst xmlns="http://schemas.openxmlformats.org/spreadsheetml/2006/main" count="236" uniqueCount="93">
  <si>
    <t>Tenured and Tenure-Track Faculty Enhanced Research Appointment Program</t>
  </si>
  <si>
    <t>Enter your Base Salary, Enhanced Salary % and Enhanced FTE Parameters below to calculate your additional compensation.</t>
  </si>
  <si>
    <t>AY Salary</t>
  </si>
  <si>
    <t>Enhanced Base Salary Component</t>
  </si>
  <si>
    <t>Enhanced FTE</t>
  </si>
  <si>
    <t>10%-25%</t>
  </si>
  <si>
    <t>0.25 to 0.75</t>
  </si>
  <si>
    <t>Current</t>
  </si>
  <si>
    <t>Base Appointment Salary</t>
  </si>
  <si>
    <t>Enhanced Appointment Base Salary</t>
  </si>
  <si>
    <t>FTE</t>
  </si>
  <si>
    <t>Full-Time     Base Salary</t>
  </si>
  <si>
    <t>Base FTE</t>
  </si>
  <si>
    <t>Full-Time 
Base Salary</t>
  </si>
  <si>
    <t>FBSEP</t>
  </si>
  <si>
    <t>Enhanced Base Salary %</t>
  </si>
  <si>
    <t>Full-Time Enhanced Base Salary</t>
  </si>
  <si>
    <t>Earnings</t>
  </si>
  <si>
    <t>Overall Total Salary</t>
  </si>
  <si>
    <t>Fiscal Year</t>
  </si>
  <si>
    <t>Additional Compensation</t>
  </si>
  <si>
    <t>Academic Year</t>
  </si>
  <si>
    <t>No Summer</t>
  </si>
  <si>
    <t>Summer Salary</t>
  </si>
  <si>
    <t>10 Weeks</t>
  </si>
  <si>
    <t>5 weeks</t>
  </si>
  <si>
    <t>(SS-teaching or non-reseach duties)</t>
  </si>
  <si>
    <t>Conversion rate and Summer Pay - https://www.purdue.edu/hr/paytimepractices/comppay/aypaypr.php</t>
  </si>
  <si>
    <t>NIH Salary Cap - $212,100 - https://grants.nih.gov/grants/policy/salcap_summary.htm</t>
  </si>
  <si>
    <t>Tenured and Tenure-Track Faculty Enhanced Research Appointment Program (Academic Year Appointments)</t>
  </si>
  <si>
    <t>Enter your AY Base Salary, Enhanced Salary %, Enhanced FTE Parameters, and estimated summer weeks below to calculate your additional compensation.</t>
  </si>
  <si>
    <t>Select</t>
  </si>
  <si>
    <t>Allowable range</t>
  </si>
  <si>
    <t>=</t>
  </si>
  <si>
    <t>in 5% increments</t>
  </si>
  <si>
    <t>in 0.05 increments</t>
  </si>
  <si>
    <t>Total Full-time Summer Weeks</t>
  </si>
  <si>
    <t>Full-time Summer Weeks on Enhanced Base Salary</t>
  </si>
  <si>
    <t>Weeks</t>
  </si>
  <si>
    <t>Enhanced Research Appointment FTE</t>
  </si>
  <si>
    <t>Enhanced Research Base Salary Component</t>
  </si>
  <si>
    <t>Enhanced AY Salary to be charged to grant</t>
  </si>
  <si>
    <t>(Example only: 25% AY effort requested for enhanced appointment)</t>
  </si>
  <si>
    <t>Total Salary Charged to Grants</t>
  </si>
  <si>
    <t>Current AY Salary already anticipated to be charged to grant</t>
  </si>
  <si>
    <t>(Example only: 25% effort already being charged/budgeted as AY on grants)</t>
  </si>
  <si>
    <t>% Currently charging grants</t>
  </si>
  <si>
    <t>AY Salary Charged to Grants (X% X AY)</t>
  </si>
  <si>
    <t>Rates</t>
  </si>
  <si>
    <t>Fringe Benefits (Coeus = 27%)</t>
  </si>
  <si>
    <t>Enter Actual FB</t>
  </si>
  <si>
    <t>F&amp;A (Coeus = 57%)</t>
  </si>
  <si>
    <t>Enter Actual F&amp;A</t>
  </si>
  <si>
    <t>Total estimated change in expenditure/impact on grant</t>
  </si>
  <si>
    <t>(note: this is an estimate based on above fringe benefits and F&amp;A rate)</t>
  </si>
  <si>
    <t>Cost Distribution</t>
  </si>
  <si>
    <t>%</t>
  </si>
  <si>
    <t>Salary $ to be charged</t>
  </si>
  <si>
    <t>WBSE Account 3</t>
  </si>
  <si>
    <t>WBSE Account 4</t>
  </si>
  <si>
    <t>WBSE Account 5</t>
  </si>
  <si>
    <t>WBSE Account 6</t>
  </si>
  <si>
    <t>WBSE Account 7</t>
  </si>
  <si>
    <t>Additional Net Salary Savings to Department</t>
  </si>
  <si>
    <t>Tenured and Tenure-Track Faculty Enhanced Research Appointment Program (Fiscal Year Appointments)</t>
  </si>
  <si>
    <t>Enter your FY Base Salary, Enhanced Salary % and Enhanced FTE Parameters below to calculate your additional compensation.</t>
  </si>
  <si>
    <t>FY Salary</t>
  </si>
  <si>
    <t>Enhanced FY Salary to be charged to grant</t>
  </si>
  <si>
    <t>Current FY Salary already anticipated to be charged to grant</t>
  </si>
  <si>
    <t>FY Salary Charged to Grants (X% X FY)</t>
  </si>
  <si>
    <t>WBSE Account 1</t>
  </si>
  <si>
    <t>WBSE Account 2</t>
  </si>
  <si>
    <t>Base Apointment Salary</t>
  </si>
  <si>
    <t>Enhanced Apointment Base Salary</t>
  </si>
  <si>
    <t>Academic Year 
No Summer</t>
  </si>
  <si>
    <t>Base Salary</t>
  </si>
  <si>
    <t>Enhanced Base Salary</t>
  </si>
  <si>
    <t>Academic Year 
With Summer</t>
  </si>
  <si>
    <t>NIH Salary Cap AY - $159,075 - https://grants.nih.gov/grants/policy/salcap_summary.htm</t>
  </si>
  <si>
    <t xml:space="preserve">Account </t>
  </si>
  <si>
    <t>Percentage</t>
  </si>
  <si>
    <t xml:space="preserve">Notes </t>
  </si>
  <si>
    <t>Enhanced Faculty FTE</t>
  </si>
  <si>
    <t>2024 NIH Salary Cap AY - $166,425 - https://grants.nih.gov/grants/policy/salcap_summary.htm</t>
  </si>
  <si>
    <t>2024 NIH Salary Cap - $221,900 - https://grants.nih.gov/grants/policy/salcap_summary.htm</t>
  </si>
  <si>
    <t>Total Salary Savings to the Department</t>
  </si>
  <si>
    <t xml:space="preserve">*Excludes fringe savings </t>
  </si>
  <si>
    <t>Updated 2/17/2025</t>
  </si>
  <si>
    <t>AY Salary Charged to Grants (FTE X AY)</t>
  </si>
  <si>
    <t>Enhanced Compensation Charged to Grants (FTE X AY X ENH)</t>
  </si>
  <si>
    <t>% Currently charging grants (Enter Percentage)</t>
  </si>
  <si>
    <t>FY Salary Charged to Grants (FTE X AY)</t>
  </si>
  <si>
    <t>Enhanced Compensation Charged to Grants (FTW X FY X ENH)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</si>
</sst>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43454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434547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164" fontId="0" fillId="0" borderId="1" xfId="1" applyNumberFormat="1" applyFont="1" applyBorder="1"/>
    <xf numFmtId="164" fontId="0" fillId="0" borderId="1" xfId="0" applyNumberFormat="1" applyBorder="1"/>
    <xf numFmtId="0" fontId="0" fillId="0" borderId="3" xfId="0" applyBorder="1"/>
    <xf numFmtId="2" fontId="0" fillId="0" borderId="4" xfId="0" applyNumberFormat="1" applyBorder="1"/>
    <xf numFmtId="164" fontId="0" fillId="0" borderId="4" xfId="1" applyNumberFormat="1" applyFont="1" applyBorder="1"/>
    <xf numFmtId="0" fontId="0" fillId="0" borderId="4" xfId="0" applyBorder="1"/>
    <xf numFmtId="9" fontId="0" fillId="0" borderId="4" xfId="2" applyFont="1" applyBorder="1"/>
    <xf numFmtId="164" fontId="0" fillId="0" borderId="4" xfId="0" applyNumberFormat="1" applyBorder="1"/>
    <xf numFmtId="0" fontId="0" fillId="0" borderId="5" xfId="0" applyBorder="1"/>
    <xf numFmtId="0" fontId="0" fillId="0" borderId="6" xfId="0" applyBorder="1"/>
    <xf numFmtId="2" fontId="0" fillId="0" borderId="0" xfId="0" applyNumberFormat="1"/>
    <xf numFmtId="164" fontId="0" fillId="0" borderId="0" xfId="1" applyNumberFormat="1" applyFont="1" applyBorder="1"/>
    <xf numFmtId="9" fontId="0" fillId="0" borderId="0" xfId="2" applyFont="1" applyBorder="1"/>
    <xf numFmtId="164" fontId="0" fillId="0" borderId="0" xfId="0" applyNumberFormat="1"/>
    <xf numFmtId="9" fontId="0" fillId="0" borderId="6" xfId="2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" fontId="0" fillId="0" borderId="2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9" fontId="0" fillId="0" borderId="2" xfId="2" applyFont="1" applyBorder="1"/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164" fontId="0" fillId="0" borderId="2" xfId="0" applyNumberFormat="1" applyBorder="1"/>
    <xf numFmtId="0" fontId="0" fillId="0" borderId="0" xfId="0" applyAlignment="1">
      <alignment horizontal="center"/>
    </xf>
    <xf numFmtId="0" fontId="4" fillId="0" borderId="0" xfId="0" applyFont="1"/>
    <xf numFmtId="164" fontId="0" fillId="0" borderId="0" xfId="1" applyNumberFormat="1" applyFont="1" applyBorder="1" applyAlignment="1">
      <alignment horizontal="center"/>
    </xf>
    <xf numFmtId="0" fontId="0" fillId="0" borderId="0" xfId="0" applyAlignment="1">
      <alignment wrapText="1"/>
    </xf>
    <xf numFmtId="9" fontId="0" fillId="0" borderId="0" xfId="2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" fillId="0" borderId="0" xfId="0" applyFont="1" applyAlignment="1">
      <alignment horizontal="center"/>
    </xf>
    <xf numFmtId="164" fontId="2" fillId="2" borderId="2" xfId="1" applyNumberFormat="1" applyFont="1" applyFill="1" applyBorder="1"/>
    <xf numFmtId="9" fontId="2" fillId="2" borderId="2" xfId="2" applyFont="1" applyFill="1" applyBorder="1" applyAlignment="1">
      <alignment horizontal="center"/>
    </xf>
    <xf numFmtId="2" fontId="2" fillId="2" borderId="2" xfId="2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0" fillId="0" borderId="12" xfId="0" applyBorder="1"/>
    <xf numFmtId="0" fontId="3" fillId="0" borderId="5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8" xfId="0" applyBorder="1" applyAlignment="1">
      <alignment horizontal="center"/>
    </xf>
    <xf numFmtId="9" fontId="0" fillId="0" borderId="0" xfId="2" applyFont="1"/>
    <xf numFmtId="9" fontId="0" fillId="0" borderId="8" xfId="2" applyFont="1" applyBorder="1"/>
    <xf numFmtId="164" fontId="0" fillId="3" borderId="2" xfId="0" applyNumberFormat="1" applyFill="1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9" xfId="0" applyFont="1" applyBorder="1"/>
    <xf numFmtId="0" fontId="0" fillId="3" borderId="13" xfId="0" applyFill="1" applyBorder="1"/>
    <xf numFmtId="0" fontId="0" fillId="3" borderId="14" xfId="0" applyFill="1" applyBorder="1" applyAlignment="1">
      <alignment horizontal="right"/>
    </xf>
    <xf numFmtId="0" fontId="0" fillId="3" borderId="14" xfId="0" applyFill="1" applyBorder="1"/>
    <xf numFmtId="0" fontId="5" fillId="0" borderId="3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4" fillId="0" borderId="6" xfId="0" applyFont="1" applyBorder="1"/>
    <xf numFmtId="0" fontId="4" fillId="0" borderId="0" xfId="0" applyFont="1" applyAlignment="1">
      <alignment horizontal="right"/>
    </xf>
    <xf numFmtId="9" fontId="4" fillId="0" borderId="4" xfId="2" applyFont="1" applyFill="1" applyBorder="1" applyAlignment="1">
      <alignment horizontal="center"/>
    </xf>
    <xf numFmtId="2" fontId="4" fillId="0" borderId="4" xfId="2" applyNumberFormat="1" applyFont="1" applyFill="1" applyBorder="1" applyAlignment="1">
      <alignment horizontal="center"/>
    </xf>
    <xf numFmtId="164" fontId="2" fillId="0" borderId="4" xfId="1" applyNumberFormat="1" applyFont="1" applyFill="1" applyBorder="1"/>
    <xf numFmtId="164" fontId="2" fillId="0" borderId="0" xfId="1" applyNumberFormat="1" applyFont="1" applyFill="1" applyBorder="1"/>
    <xf numFmtId="9" fontId="4" fillId="0" borderId="0" xfId="2" applyFont="1" applyFill="1" applyBorder="1" applyAlignment="1">
      <alignment horizontal="center"/>
    </xf>
    <xf numFmtId="2" fontId="4" fillId="0" borderId="0" xfId="2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43" fontId="0" fillId="0" borderId="0" xfId="3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2" fontId="0" fillId="0" borderId="8" xfId="0" applyNumberFormat="1" applyBorder="1"/>
    <xf numFmtId="9" fontId="0" fillId="0" borderId="9" xfId="2" applyFont="1" applyBorder="1"/>
    <xf numFmtId="0" fontId="2" fillId="0" borderId="6" xfId="0" applyFont="1" applyBorder="1"/>
    <xf numFmtId="0" fontId="8" fillId="0" borderId="0" xfId="0" applyFont="1"/>
    <xf numFmtId="0" fontId="9" fillId="0" borderId="0" xfId="0" applyFont="1"/>
    <xf numFmtId="44" fontId="0" fillId="0" borderId="0" xfId="0" applyNumberFormat="1"/>
    <xf numFmtId="0" fontId="2" fillId="0" borderId="15" xfId="0" applyFont="1" applyBorder="1"/>
    <xf numFmtId="44" fontId="0" fillId="0" borderId="0" xfId="1" applyFont="1" applyBorder="1"/>
    <xf numFmtId="0" fontId="2" fillId="0" borderId="3" xfId="0" applyFont="1" applyBorder="1"/>
    <xf numFmtId="0" fontId="0" fillId="0" borderId="16" xfId="0" applyBorder="1"/>
    <xf numFmtId="44" fontId="0" fillId="0" borderId="12" xfId="1" applyFont="1" applyBorder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9" fontId="0" fillId="4" borderId="18" xfId="0" applyNumberFormat="1" applyFill="1" applyBorder="1"/>
    <xf numFmtId="9" fontId="0" fillId="4" borderId="18" xfId="2" applyFont="1" applyFill="1" applyBorder="1"/>
    <xf numFmtId="0" fontId="0" fillId="4" borderId="18" xfId="0" applyFill="1" applyBorder="1"/>
    <xf numFmtId="9" fontId="2" fillId="5" borderId="2" xfId="2" applyFont="1" applyFill="1" applyBorder="1" applyAlignment="1">
      <alignment horizontal="center"/>
    </xf>
    <xf numFmtId="9" fontId="0" fillId="5" borderId="0" xfId="2" applyFont="1" applyFill="1"/>
    <xf numFmtId="44" fontId="0" fillId="6" borderId="0" xfId="1" applyFont="1" applyFill="1"/>
    <xf numFmtId="2" fontId="0" fillId="7" borderId="0" xfId="0" applyNumberFormat="1" applyFill="1"/>
    <xf numFmtId="2" fontId="2" fillId="7" borderId="2" xfId="2" applyNumberFormat="1" applyFont="1" applyFill="1" applyBorder="1" applyAlignment="1">
      <alignment horizontal="center"/>
    </xf>
    <xf numFmtId="164" fontId="0" fillId="8" borderId="2" xfId="0" applyNumberFormat="1" applyFill="1" applyBorder="1"/>
    <xf numFmtId="44" fontId="9" fillId="0" borderId="0" xfId="0" applyNumberFormat="1" applyFont="1"/>
    <xf numFmtId="0" fontId="0" fillId="0" borderId="13" xfId="0" applyBorder="1"/>
    <xf numFmtId="44" fontId="0" fillId="0" borderId="19" xfId="0" applyNumberFormat="1" applyBorder="1"/>
    <xf numFmtId="44" fontId="2" fillId="6" borderId="2" xfId="1" applyFont="1" applyFill="1" applyBorder="1"/>
    <xf numFmtId="164" fontId="0" fillId="0" borderId="18" xfId="0" applyNumberFormat="1" applyBorder="1"/>
    <xf numFmtId="164" fontId="0" fillId="0" borderId="6" xfId="1" applyNumberFormat="1" applyFont="1" applyBorder="1"/>
    <xf numFmtId="164" fontId="0" fillId="8" borderId="6" xfId="1" applyNumberFormat="1" applyFont="1" applyFill="1" applyBorder="1"/>
    <xf numFmtId="164" fontId="0" fillId="0" borderId="17" xfId="1" applyNumberFormat="1" applyFont="1" applyBorder="1"/>
    <xf numFmtId="164" fontId="0" fillId="0" borderId="9" xfId="1" applyNumberFormat="1" applyFont="1" applyBorder="1"/>
    <xf numFmtId="164" fontId="0" fillId="0" borderId="0" xfId="1" applyNumberFormat="1" applyFont="1"/>
    <xf numFmtId="164" fontId="2" fillId="0" borderId="15" xfId="0" applyNumberFormat="1" applyFont="1" applyBorder="1"/>
    <xf numFmtId="9" fontId="0" fillId="0" borderId="0" xfId="0" applyNumberFormat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7" borderId="2" xfId="0" applyNumberFormat="1" applyFill="1" applyBorder="1"/>
    <xf numFmtId="9" fontId="0" fillId="5" borderId="2" xfId="2" applyFont="1" applyFill="1" applyBorder="1"/>
    <xf numFmtId="44" fontId="0" fillId="6" borderId="2" xfId="1" applyFont="1" applyFill="1" applyBorder="1"/>
    <xf numFmtId="0" fontId="0" fillId="9" borderId="13" xfId="0" applyFill="1" applyBorder="1"/>
    <xf numFmtId="44" fontId="0" fillId="9" borderId="19" xfId="0" applyNumberFormat="1" applyFill="1" applyBorder="1"/>
    <xf numFmtId="0" fontId="11" fillId="0" borderId="0" xfId="0" applyFon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EAA15-1190-462B-BC7E-7D4B5C9005D2}">
  <sheetPr>
    <pageSetUpPr fitToPage="1"/>
  </sheetPr>
  <dimension ref="A1:O29"/>
  <sheetViews>
    <sheetView zoomScale="110" workbookViewId="0">
      <selection activeCell="G26" sqref="G26"/>
    </sheetView>
  </sheetViews>
  <sheetFormatPr defaultRowHeight="15" x14ac:dyDescent="0.25"/>
  <cols>
    <col min="1" max="1" width="15" customWidth="1"/>
    <col min="3" max="3" width="14.28515625" bestFit="1" customWidth="1"/>
    <col min="4" max="4" width="2.85546875" customWidth="1"/>
    <col min="5" max="5" width="8.140625" customWidth="1"/>
    <col min="6" max="7" width="14.28515625" customWidth="1"/>
    <col min="8" max="8" width="2.7109375" customWidth="1"/>
    <col min="9" max="9" width="11.5703125" customWidth="1"/>
    <col min="10" max="10" width="14.85546875" customWidth="1"/>
    <col min="11" max="11" width="15.7109375" customWidth="1"/>
    <col min="12" max="12" width="9.7109375" bestFit="1" customWidth="1"/>
    <col min="13" max="13" width="2.28515625" customWidth="1"/>
    <col min="14" max="14" width="10" bestFit="1" customWidth="1"/>
    <col min="16" max="16" width="2.5703125" customWidth="1"/>
    <col min="17" max="17" width="10" bestFit="1" customWidth="1"/>
  </cols>
  <sheetData>
    <row r="1" spans="1:15" ht="21" x14ac:dyDescent="0.3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15" ht="21.75" thickBot="1" x14ac:dyDescent="0.4"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21" x14ac:dyDescent="0.35">
      <c r="A3" s="39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40"/>
    </row>
    <row r="4" spans="1:15" ht="8.25" customHeight="1" thickBot="1" x14ac:dyDescent="0.4">
      <c r="A4" s="41"/>
      <c r="O4" s="10"/>
    </row>
    <row r="5" spans="1:15" ht="15.75" thickBot="1" x14ac:dyDescent="0.3">
      <c r="A5" s="9"/>
      <c r="B5" s="42" t="s">
        <v>2</v>
      </c>
      <c r="C5" s="36">
        <v>200000</v>
      </c>
      <c r="D5" s="42"/>
      <c r="E5" s="42"/>
      <c r="F5" s="42"/>
      <c r="G5" s="43" t="s">
        <v>3</v>
      </c>
      <c r="H5" s="42"/>
      <c r="I5" s="37">
        <v>0.2</v>
      </c>
      <c r="J5" s="42"/>
      <c r="L5" s="43" t="s">
        <v>4</v>
      </c>
      <c r="M5" s="42"/>
      <c r="N5" s="38">
        <v>0.25</v>
      </c>
      <c r="O5" s="10"/>
    </row>
    <row r="6" spans="1:15" ht="15.75" thickBot="1" x14ac:dyDescent="0.3">
      <c r="A6" s="16"/>
      <c r="B6" s="17"/>
      <c r="C6" s="17"/>
      <c r="D6" s="17"/>
      <c r="E6" s="17"/>
      <c r="F6" s="17"/>
      <c r="G6" s="17"/>
      <c r="H6" s="17"/>
      <c r="I6" s="44" t="s">
        <v>5</v>
      </c>
      <c r="J6" s="17"/>
      <c r="K6" s="17"/>
      <c r="L6" s="17"/>
      <c r="M6" s="17"/>
      <c r="N6" s="44" t="s">
        <v>6</v>
      </c>
      <c r="O6" s="18"/>
    </row>
    <row r="7" spans="1:15" ht="15.75" thickBot="1" x14ac:dyDescent="0.3">
      <c r="I7" s="26"/>
      <c r="N7" s="26"/>
    </row>
    <row r="8" spans="1:15" ht="15.75" thickBot="1" x14ac:dyDescent="0.3">
      <c r="B8" s="103" t="s">
        <v>7</v>
      </c>
      <c r="C8" s="104"/>
      <c r="E8" s="103" t="s">
        <v>8</v>
      </c>
      <c r="F8" s="105"/>
      <c r="G8" s="104"/>
      <c r="I8" s="103" t="s">
        <v>9</v>
      </c>
      <c r="J8" s="105"/>
      <c r="K8" s="105"/>
      <c r="L8" s="104"/>
    </row>
    <row r="9" spans="1:15" s="29" customFormat="1" ht="45.75" thickBot="1" x14ac:dyDescent="0.3">
      <c r="A9" s="32"/>
      <c r="B9" s="31" t="s">
        <v>10</v>
      </c>
      <c r="C9" s="31" t="s">
        <v>11</v>
      </c>
      <c r="D9" s="33"/>
      <c r="E9" s="31" t="s">
        <v>12</v>
      </c>
      <c r="F9" s="31" t="s">
        <v>13</v>
      </c>
      <c r="G9" s="31" t="s">
        <v>14</v>
      </c>
      <c r="H9" s="33"/>
      <c r="I9" s="31" t="s">
        <v>4</v>
      </c>
      <c r="J9" s="31" t="s">
        <v>15</v>
      </c>
      <c r="K9" s="31" t="s">
        <v>16</v>
      </c>
      <c r="L9" s="31" t="s">
        <v>17</v>
      </c>
      <c r="M9" s="33"/>
      <c r="N9" s="31" t="s">
        <v>18</v>
      </c>
      <c r="O9" s="34"/>
    </row>
    <row r="10" spans="1:15" ht="15.75" thickBot="1" x14ac:dyDescent="0.3">
      <c r="A10" s="3" t="s">
        <v>19</v>
      </c>
      <c r="B10" s="4">
        <v>1</v>
      </c>
      <c r="C10" s="5">
        <f>+C16*1.2778</f>
        <v>255560</v>
      </c>
      <c r="D10" s="6"/>
      <c r="E10" s="4">
        <f>+B10-I10</f>
        <v>0.75</v>
      </c>
      <c r="F10" s="5">
        <f>+C10</f>
        <v>255560</v>
      </c>
      <c r="G10" s="5">
        <f>+F10*E10</f>
        <v>191670</v>
      </c>
      <c r="H10" s="6"/>
      <c r="I10" s="19">
        <f>+N5</f>
        <v>0.25</v>
      </c>
      <c r="J10" s="7">
        <f>+$I$5</f>
        <v>0.2</v>
      </c>
      <c r="K10" s="5">
        <f>+C10*(1+J10)</f>
        <v>306672</v>
      </c>
      <c r="L10" s="8">
        <f>+I10*K10</f>
        <v>76668</v>
      </c>
      <c r="M10" s="6"/>
      <c r="N10" s="8">
        <f>+G10+L10</f>
        <v>268338</v>
      </c>
      <c r="O10" s="22">
        <f>+(N10-C10)/C10</f>
        <v>0.05</v>
      </c>
    </row>
    <row r="11" spans="1:15" ht="15.75" thickBot="1" x14ac:dyDescent="0.3">
      <c r="A11" s="9"/>
      <c r="J11" s="13"/>
      <c r="L11" s="23" t="s">
        <v>20</v>
      </c>
      <c r="N11" s="25">
        <f>+N10-C10</f>
        <v>12778</v>
      </c>
      <c r="O11" s="10"/>
    </row>
    <row r="12" spans="1:15" ht="15.75" thickBot="1" x14ac:dyDescent="0.3">
      <c r="A12" s="9"/>
      <c r="J12" s="13"/>
      <c r="L12" s="23"/>
      <c r="N12" s="14"/>
      <c r="O12" s="10"/>
    </row>
    <row r="13" spans="1:15" ht="15.75" thickBot="1" x14ac:dyDescent="0.3">
      <c r="A13" s="9" t="s">
        <v>21</v>
      </c>
      <c r="B13" s="11">
        <v>1</v>
      </c>
      <c r="C13" s="12">
        <f>+$C$5</f>
        <v>200000</v>
      </c>
      <c r="E13" s="11">
        <f>+E10</f>
        <v>0.75</v>
      </c>
      <c r="F13" s="12">
        <f>+C13</f>
        <v>200000</v>
      </c>
      <c r="G13" s="12">
        <f>+F13*E13</f>
        <v>150000</v>
      </c>
      <c r="I13" s="19">
        <f>+N5</f>
        <v>0.25</v>
      </c>
      <c r="J13" s="13">
        <f>+$I$5</f>
        <v>0.2</v>
      </c>
      <c r="K13" s="12">
        <f>+C13*(1+J13)</f>
        <v>240000</v>
      </c>
      <c r="L13" s="14">
        <f>+I13*K13</f>
        <v>60000</v>
      </c>
      <c r="N13" s="14">
        <f>+G13+L13</f>
        <v>210000</v>
      </c>
      <c r="O13" s="15">
        <f>+(N13-C13)/C13</f>
        <v>0.05</v>
      </c>
    </row>
    <row r="14" spans="1:15" ht="15.75" thickBot="1" x14ac:dyDescent="0.3">
      <c r="A14" s="9" t="s">
        <v>22</v>
      </c>
      <c r="J14" s="13"/>
      <c r="L14" s="23" t="s">
        <v>20</v>
      </c>
      <c r="N14" s="25">
        <f>+N13-C13</f>
        <v>10000</v>
      </c>
      <c r="O14" s="10"/>
    </row>
    <row r="15" spans="1:15" ht="15.75" thickBot="1" x14ac:dyDescent="0.3">
      <c r="A15" s="9"/>
      <c r="J15" s="13"/>
      <c r="L15" s="23"/>
      <c r="N15" s="14"/>
      <c r="O15" s="10"/>
    </row>
    <row r="16" spans="1:15" x14ac:dyDescent="0.25">
      <c r="A16" s="9" t="s">
        <v>21</v>
      </c>
      <c r="B16" s="11">
        <v>1</v>
      </c>
      <c r="C16" s="12">
        <f>+$C$5</f>
        <v>200000</v>
      </c>
      <c r="E16" s="11">
        <f>+E10</f>
        <v>0.75</v>
      </c>
      <c r="F16" s="12">
        <f>+C16</f>
        <v>200000</v>
      </c>
      <c r="G16" s="12">
        <f>+F16*E16</f>
        <v>150000</v>
      </c>
      <c r="I16" s="20">
        <f>+N5</f>
        <v>0.25</v>
      </c>
      <c r="J16" s="13">
        <f>+$I$5</f>
        <v>0.2</v>
      </c>
      <c r="K16" s="12">
        <f>+C16*(1+J16)</f>
        <v>240000</v>
      </c>
      <c r="L16" s="14">
        <f>+I16*K16</f>
        <v>60000</v>
      </c>
      <c r="N16" s="14">
        <f>+G16+L16</f>
        <v>210000</v>
      </c>
      <c r="O16" s="15">
        <f>+(N16-C16)/C16</f>
        <v>0.05</v>
      </c>
    </row>
    <row r="17" spans="1:15" ht="15.75" thickBot="1" x14ac:dyDescent="0.3">
      <c r="A17" s="9" t="s">
        <v>23</v>
      </c>
      <c r="B17" t="s">
        <v>24</v>
      </c>
      <c r="C17" s="1">
        <f>+C16*0.02778*10</f>
        <v>55560</v>
      </c>
      <c r="I17" s="21">
        <v>1</v>
      </c>
      <c r="J17" s="13">
        <f>+$I$5</f>
        <v>0.2</v>
      </c>
      <c r="K17" s="12">
        <f>+C17*(1+J17)</f>
        <v>66672</v>
      </c>
      <c r="L17" s="14">
        <f>+I17*K17</f>
        <v>66672</v>
      </c>
      <c r="N17" s="2">
        <f>+G17+L17</f>
        <v>66672</v>
      </c>
      <c r="O17" s="15">
        <f>+(N17-C17)/C17</f>
        <v>0.2</v>
      </c>
    </row>
    <row r="18" spans="1:15" ht="15.75" thickBot="1" x14ac:dyDescent="0.3">
      <c r="A18" s="9"/>
      <c r="C18" s="14">
        <f>SUM(C16:C17)</f>
        <v>255560</v>
      </c>
      <c r="N18" s="14">
        <f>SUM(N16:N17)</f>
        <v>276672</v>
      </c>
      <c r="O18" s="22">
        <f>+(N18-C18)/C18</f>
        <v>8.261073720457035E-2</v>
      </c>
    </row>
    <row r="19" spans="1:15" ht="15.75" thickBot="1" x14ac:dyDescent="0.3">
      <c r="A19" s="9"/>
      <c r="C19" s="14"/>
      <c r="L19" s="23" t="s">
        <v>20</v>
      </c>
      <c r="N19" s="25">
        <f>+N18-C18</f>
        <v>21112</v>
      </c>
      <c r="O19" s="15"/>
    </row>
    <row r="20" spans="1:15" x14ac:dyDescent="0.25">
      <c r="A20" s="9" t="s">
        <v>21</v>
      </c>
      <c r="B20" s="11">
        <v>1</v>
      </c>
      <c r="C20" s="12">
        <f>+$C$5</f>
        <v>200000</v>
      </c>
      <c r="E20" s="11">
        <f>+E10</f>
        <v>0.75</v>
      </c>
      <c r="F20" s="12">
        <f>+C20</f>
        <v>200000</v>
      </c>
      <c r="G20" s="12">
        <f>+F20*E20</f>
        <v>150000</v>
      </c>
      <c r="I20" s="20">
        <f>+N5</f>
        <v>0.25</v>
      </c>
      <c r="J20" s="13">
        <f>+$I$5</f>
        <v>0.2</v>
      </c>
      <c r="K20" s="12">
        <f>+C20*(1+J20)</f>
        <v>240000</v>
      </c>
      <c r="L20" s="14">
        <f>+I20*K20</f>
        <v>60000</v>
      </c>
      <c r="N20" s="14">
        <f>+G20+L20</f>
        <v>210000</v>
      </c>
      <c r="O20" s="15">
        <f>+(N20-C20)/C20</f>
        <v>0.05</v>
      </c>
    </row>
    <row r="21" spans="1:15" ht="15.75" thickBot="1" x14ac:dyDescent="0.3">
      <c r="A21" s="9" t="s">
        <v>23</v>
      </c>
      <c r="B21" t="s">
        <v>24</v>
      </c>
      <c r="C21" s="1">
        <f>+C20*0.02778*10</f>
        <v>55560</v>
      </c>
      <c r="E21" t="s">
        <v>25</v>
      </c>
      <c r="F21" s="14">
        <f>+F20</f>
        <v>200000</v>
      </c>
      <c r="G21" s="12">
        <f>((+C20)*0.02778)*5</f>
        <v>27780</v>
      </c>
      <c r="I21" s="21">
        <v>1</v>
      </c>
      <c r="J21" s="30" t="s">
        <v>25</v>
      </c>
      <c r="K21" s="12">
        <f>+K20</f>
        <v>240000</v>
      </c>
      <c r="L21" s="12">
        <f>((+K20)*0.02778)*5</f>
        <v>33336</v>
      </c>
      <c r="N21" s="2">
        <f>+L21+G21</f>
        <v>61116</v>
      </c>
      <c r="O21" s="15">
        <f>+(N21-C21)/C21</f>
        <v>0.1</v>
      </c>
    </row>
    <row r="22" spans="1:15" ht="15.75" thickBot="1" x14ac:dyDescent="0.3">
      <c r="A22" s="9"/>
      <c r="C22" s="14">
        <f>SUM(C20:C21)</f>
        <v>255560</v>
      </c>
      <c r="F22" s="26" t="s">
        <v>26</v>
      </c>
      <c r="N22" s="14">
        <f>SUM(N20:N21)</f>
        <v>271116</v>
      </c>
      <c r="O22" s="22">
        <f>+(N22-C22)/C22</f>
        <v>6.0870245734856783E-2</v>
      </c>
    </row>
    <row r="23" spans="1:15" ht="15.75" thickBot="1" x14ac:dyDescent="0.3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24" t="s">
        <v>20</v>
      </c>
      <c r="M23" s="17"/>
      <c r="N23" s="25">
        <f>+N22-C22</f>
        <v>15556</v>
      </c>
      <c r="O23" s="18"/>
    </row>
    <row r="25" spans="1:15" x14ac:dyDescent="0.25">
      <c r="A25" s="27" t="s">
        <v>27</v>
      </c>
    </row>
    <row r="26" spans="1:15" x14ac:dyDescent="0.25">
      <c r="A26" s="27" t="s">
        <v>28</v>
      </c>
    </row>
    <row r="28" spans="1:15" x14ac:dyDescent="0.25">
      <c r="A28" s="26"/>
    </row>
    <row r="29" spans="1:15" x14ac:dyDescent="0.25">
      <c r="A29" s="28"/>
    </row>
  </sheetData>
  <protectedRanges>
    <protectedRange sqref="A3:XFD6" name="Parameters"/>
  </protectedRanges>
  <mergeCells count="4">
    <mergeCell ref="A1:O1"/>
    <mergeCell ref="B8:C8"/>
    <mergeCell ref="E8:G8"/>
    <mergeCell ref="I8:L8"/>
  </mergeCells>
  <printOptions horizontalCentered="1"/>
  <pageMargins left="0.45" right="0.45" top="0.5" bottom="0.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22E1B-6EA0-4390-8327-71A04EC630C3}">
  <sheetPr>
    <tabColor theme="8" tint="0.39997558519241921"/>
    <pageSetUpPr fitToPage="1"/>
  </sheetPr>
  <dimension ref="B1:P58"/>
  <sheetViews>
    <sheetView showGridLines="0" tabSelected="1" zoomScale="110" zoomScaleNormal="110" workbookViewId="0">
      <selection activeCell="B1" sqref="B1:P1"/>
    </sheetView>
  </sheetViews>
  <sheetFormatPr defaultRowHeight="15" x14ac:dyDescent="0.25"/>
  <cols>
    <col min="1" max="1" width="2.5703125" customWidth="1"/>
    <col min="2" max="2" width="54" customWidth="1"/>
    <col min="3" max="3" width="17.42578125" customWidth="1"/>
    <col min="4" max="4" width="26.28515625" customWidth="1"/>
    <col min="5" max="5" width="2.85546875" customWidth="1"/>
    <col min="6" max="6" width="8.140625" customWidth="1"/>
    <col min="7" max="8" width="14.28515625" customWidth="1"/>
    <col min="9" max="9" width="2.7109375" customWidth="1"/>
    <col min="10" max="10" width="11.5703125" customWidth="1"/>
    <col min="11" max="11" width="14.85546875" customWidth="1"/>
    <col min="12" max="12" width="15.7109375" customWidth="1"/>
    <col min="13" max="13" width="12.7109375" bestFit="1" customWidth="1"/>
    <col min="14" max="14" width="2.28515625" customWidth="1"/>
    <col min="15" max="15" width="12.5703125" bestFit="1" customWidth="1"/>
    <col min="16" max="16" width="14.42578125" bestFit="1" customWidth="1"/>
    <col min="17" max="17" width="2.5703125" customWidth="1"/>
    <col min="18" max="18" width="10" bestFit="1" customWidth="1"/>
  </cols>
  <sheetData>
    <row r="1" spans="2:16" ht="21" x14ac:dyDescent="0.35">
      <c r="B1" s="102" t="s">
        <v>29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2:16" ht="21.75" thickBot="1" x14ac:dyDescent="0.4"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6" ht="15.75" x14ac:dyDescent="0.25">
      <c r="B3" s="55" t="s">
        <v>30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40"/>
    </row>
    <row r="4" spans="2:16" ht="8.25" customHeight="1" thickBot="1" x14ac:dyDescent="0.4">
      <c r="B4" s="41"/>
      <c r="P4" s="10"/>
    </row>
    <row r="5" spans="2:16" ht="15.75" thickBot="1" x14ac:dyDescent="0.3">
      <c r="B5" s="9"/>
      <c r="C5" s="42" t="s">
        <v>2</v>
      </c>
      <c r="D5" s="93">
        <v>185000</v>
      </c>
      <c r="E5" s="42"/>
      <c r="F5" s="42"/>
      <c r="G5" s="42"/>
      <c r="H5" s="43" t="s">
        <v>3</v>
      </c>
      <c r="I5" s="42"/>
      <c r="J5" s="84">
        <v>0.25</v>
      </c>
      <c r="K5" s="42" t="s">
        <v>31</v>
      </c>
      <c r="M5" s="43" t="s">
        <v>4</v>
      </c>
      <c r="N5" s="42"/>
      <c r="O5" s="88">
        <v>0.25</v>
      </c>
      <c r="P5" s="70" t="s">
        <v>31</v>
      </c>
    </row>
    <row r="6" spans="2:16" x14ac:dyDescent="0.25">
      <c r="B6" s="9"/>
      <c r="C6" s="42"/>
      <c r="D6" s="61"/>
      <c r="E6" s="42"/>
      <c r="F6" s="42"/>
      <c r="G6" s="42"/>
      <c r="H6" s="58" t="s">
        <v>32</v>
      </c>
      <c r="I6" s="27" t="s">
        <v>33</v>
      </c>
      <c r="J6" s="59" t="s">
        <v>5</v>
      </c>
      <c r="K6" s="27" t="s">
        <v>34</v>
      </c>
      <c r="M6" s="58" t="s">
        <v>32</v>
      </c>
      <c r="N6" s="27" t="s">
        <v>33</v>
      </c>
      <c r="O6" s="60" t="s">
        <v>6</v>
      </c>
      <c r="P6" s="57" t="s">
        <v>35</v>
      </c>
    </row>
    <row r="7" spans="2:16" ht="9" customHeight="1" thickBot="1" x14ac:dyDescent="0.3">
      <c r="B7" s="9"/>
      <c r="C7" s="42"/>
      <c r="D7" s="62"/>
      <c r="E7" s="42"/>
      <c r="F7" s="42"/>
      <c r="G7" s="42"/>
      <c r="H7" s="58"/>
      <c r="I7" s="27"/>
      <c r="J7" s="63"/>
      <c r="K7" s="27"/>
      <c r="M7" s="58"/>
      <c r="N7" s="27"/>
      <c r="O7" s="64"/>
      <c r="P7" s="57"/>
    </row>
    <row r="8" spans="2:16" ht="15.75" thickBot="1" x14ac:dyDescent="0.3">
      <c r="B8" s="9"/>
      <c r="E8" s="42"/>
      <c r="F8" s="56" t="s">
        <v>36</v>
      </c>
      <c r="G8" s="38">
        <v>0</v>
      </c>
      <c r="H8" s="58"/>
      <c r="I8" s="42"/>
      <c r="K8" s="56" t="s">
        <v>37</v>
      </c>
      <c r="L8" s="38">
        <v>0</v>
      </c>
      <c r="N8" s="27"/>
      <c r="O8" s="64"/>
      <c r="P8" s="57"/>
    </row>
    <row r="9" spans="2:16" ht="15.75" thickBot="1" x14ac:dyDescent="0.3">
      <c r="B9" s="16"/>
      <c r="C9" s="17"/>
      <c r="D9" s="17"/>
      <c r="E9" s="17"/>
      <c r="F9" s="17"/>
      <c r="G9" s="49"/>
      <c r="H9" s="50"/>
      <c r="I9" s="49"/>
      <c r="J9" s="49"/>
      <c r="K9" s="48"/>
      <c r="L9" s="17"/>
      <c r="M9" s="50"/>
      <c r="N9" s="49"/>
      <c r="O9" s="49"/>
      <c r="P9" s="51"/>
    </row>
    <row r="10" spans="2:16" ht="15.75" thickBot="1" x14ac:dyDescent="0.3">
      <c r="J10" s="26"/>
      <c r="O10" s="26"/>
    </row>
    <row r="11" spans="2:16" ht="15.75" thickBot="1" x14ac:dyDescent="0.3">
      <c r="C11" s="103" t="s">
        <v>7</v>
      </c>
      <c r="D11" s="104"/>
      <c r="F11" s="103" t="s">
        <v>8</v>
      </c>
      <c r="G11" s="105"/>
      <c r="H11" s="104"/>
      <c r="J11" s="103" t="s">
        <v>9</v>
      </c>
      <c r="K11" s="105"/>
      <c r="L11" s="105"/>
      <c r="M11" s="104"/>
    </row>
    <row r="12" spans="2:16" ht="45.75" thickBot="1" x14ac:dyDescent="0.3">
      <c r="B12" s="65" t="s">
        <v>21</v>
      </c>
      <c r="C12" s="31" t="s">
        <v>10</v>
      </c>
      <c r="D12" s="31" t="s">
        <v>11</v>
      </c>
      <c r="E12" s="33"/>
      <c r="F12" s="31" t="s">
        <v>12</v>
      </c>
      <c r="G12" s="31" t="s">
        <v>13</v>
      </c>
      <c r="H12" s="31" t="s">
        <v>17</v>
      </c>
      <c r="I12" s="33"/>
      <c r="J12" s="31" t="s">
        <v>4</v>
      </c>
      <c r="K12" s="31" t="s">
        <v>15</v>
      </c>
      <c r="L12" s="31" t="s">
        <v>16</v>
      </c>
      <c r="M12" s="31" t="s">
        <v>17</v>
      </c>
      <c r="N12" s="33"/>
      <c r="O12" s="31" t="s">
        <v>18</v>
      </c>
      <c r="P12" s="34"/>
    </row>
    <row r="13" spans="2:16" ht="15.75" thickBot="1" x14ac:dyDescent="0.3">
      <c r="B13" s="9" t="s">
        <v>21</v>
      </c>
      <c r="C13" s="11">
        <v>1</v>
      </c>
      <c r="D13" s="12">
        <f>+$D$5</f>
        <v>185000</v>
      </c>
      <c r="F13" s="11">
        <f>+C13-J13</f>
        <v>0.75</v>
      </c>
      <c r="G13" s="12">
        <f>+D13</f>
        <v>185000</v>
      </c>
      <c r="H13" s="12">
        <f>+G13*F13</f>
        <v>138750</v>
      </c>
      <c r="J13" s="19">
        <f>+O5</f>
        <v>0.25</v>
      </c>
      <c r="K13" s="13">
        <f>+$J$5</f>
        <v>0.25</v>
      </c>
      <c r="L13" s="12">
        <f>+D13*(1+K13)</f>
        <v>231250</v>
      </c>
      <c r="M13" s="14">
        <f>+J13*L13</f>
        <v>57812.5</v>
      </c>
      <c r="N13" s="14"/>
      <c r="O13" s="14">
        <f>+H13+M13</f>
        <v>196562.5</v>
      </c>
      <c r="P13" s="15">
        <f>+(O13-D13)/D13</f>
        <v>6.25E-2</v>
      </c>
    </row>
    <row r="14" spans="2:16" ht="3.75" customHeight="1" x14ac:dyDescent="0.25">
      <c r="B14" s="9"/>
      <c r="C14" s="11"/>
      <c r="D14" s="12"/>
      <c r="F14" s="11"/>
      <c r="G14" s="12"/>
      <c r="H14" s="12"/>
      <c r="J14" s="4"/>
      <c r="K14" s="13"/>
      <c r="L14" s="12"/>
      <c r="M14" s="14"/>
      <c r="N14" s="14"/>
      <c r="O14" s="14"/>
      <c r="P14" s="15"/>
    </row>
    <row r="15" spans="2:16" ht="15.75" thickBot="1" x14ac:dyDescent="0.3">
      <c r="B15" s="9"/>
      <c r="C15" s="67" t="s">
        <v>38</v>
      </c>
      <c r="D15" s="12"/>
      <c r="F15" s="67" t="s">
        <v>38</v>
      </c>
      <c r="G15" s="12"/>
      <c r="H15" s="12"/>
      <c r="J15" s="68"/>
      <c r="K15" s="67" t="s">
        <v>38</v>
      </c>
      <c r="L15" s="12"/>
      <c r="M15" s="14"/>
      <c r="N15" s="14"/>
      <c r="O15" s="14"/>
      <c r="P15" s="15"/>
    </row>
    <row r="16" spans="2:16" ht="15.75" thickBot="1" x14ac:dyDescent="0.3">
      <c r="B16" s="9" t="s">
        <v>23</v>
      </c>
      <c r="C16" s="11">
        <f>G8</f>
        <v>0</v>
      </c>
      <c r="D16" s="1">
        <f>+D13*0.02778*C16</f>
        <v>0</v>
      </c>
      <c r="F16" s="11">
        <f>C16-K16</f>
        <v>0</v>
      </c>
      <c r="G16" s="14">
        <f>+G13</f>
        <v>185000</v>
      </c>
      <c r="H16" s="12">
        <f>((+D13)*0.02778)*F16</f>
        <v>0</v>
      </c>
      <c r="J16" s="19">
        <v>1</v>
      </c>
      <c r="K16" s="66">
        <f>L8</f>
        <v>0</v>
      </c>
      <c r="L16" s="12">
        <f>+L13</f>
        <v>231250</v>
      </c>
      <c r="M16" s="12">
        <f>((+L16)*0.02778)*K16</f>
        <v>0</v>
      </c>
      <c r="N16" s="14"/>
      <c r="O16" s="2">
        <f>+M16+H16</f>
        <v>0</v>
      </c>
      <c r="P16" s="15">
        <f>IF(K16&gt;0,(+(O16-D16)/D16),0)</f>
        <v>0</v>
      </c>
    </row>
    <row r="17" spans="2:16" ht="15.75" thickBot="1" x14ac:dyDescent="0.3">
      <c r="B17" s="9"/>
      <c r="D17" s="14">
        <f>SUM(D13:D16)</f>
        <v>185000</v>
      </c>
      <c r="G17" s="26" t="s">
        <v>26</v>
      </c>
      <c r="O17" s="14">
        <f>SUM(O13:O16)</f>
        <v>196562.5</v>
      </c>
      <c r="P17" s="22">
        <f>+(O17-D17)/D17</f>
        <v>6.25E-2</v>
      </c>
    </row>
    <row r="18" spans="2:16" ht="5.25" customHeight="1" thickBot="1" x14ac:dyDescent="0.3">
      <c r="B18" s="9"/>
      <c r="D18" s="14"/>
      <c r="O18" s="14"/>
      <c r="P18" s="69"/>
    </row>
    <row r="19" spans="2:16" ht="15.75" thickBot="1" x14ac:dyDescent="0.3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52"/>
      <c r="M19" s="53" t="s">
        <v>20</v>
      </c>
      <c r="N19" s="54"/>
      <c r="O19" s="89">
        <f>+O17-D17</f>
        <v>11562.5</v>
      </c>
      <c r="P19" s="18"/>
    </row>
    <row r="21" spans="2:16" x14ac:dyDescent="0.25">
      <c r="B21" s="27" t="s">
        <v>27</v>
      </c>
    </row>
    <row r="22" spans="2:16" s="72" customFormat="1" x14ac:dyDescent="0.25">
      <c r="B22" s="71" t="s">
        <v>83</v>
      </c>
      <c r="K22" s="90"/>
      <c r="L22" s="90"/>
      <c r="M22" s="90"/>
      <c r="O22" s="90"/>
    </row>
    <row r="23" spans="2:16" x14ac:dyDescent="0.25">
      <c r="L23" s="73"/>
      <c r="M23" s="14"/>
    </row>
    <row r="24" spans="2:16" x14ac:dyDescent="0.25">
      <c r="M24" s="14"/>
    </row>
    <row r="25" spans="2:16" ht="24" customHeight="1" x14ac:dyDescent="0.25">
      <c r="B25" t="s">
        <v>2</v>
      </c>
      <c r="C25" s="86">
        <f>D5</f>
        <v>185000</v>
      </c>
    </row>
    <row r="26" spans="2:16" ht="24" customHeight="1" x14ac:dyDescent="0.25">
      <c r="B26" t="s">
        <v>39</v>
      </c>
      <c r="C26" s="87">
        <f>O5</f>
        <v>0.25</v>
      </c>
    </row>
    <row r="27" spans="2:16" ht="24" customHeight="1" x14ac:dyDescent="0.25">
      <c r="B27" t="s">
        <v>40</v>
      </c>
      <c r="C27" s="85">
        <f>J5</f>
        <v>0.25</v>
      </c>
    </row>
    <row r="28" spans="2:16" ht="24" customHeight="1" thickBot="1" x14ac:dyDescent="0.3"/>
    <row r="29" spans="2:16" ht="24" customHeight="1" x14ac:dyDescent="0.25">
      <c r="B29" s="76" t="s">
        <v>41</v>
      </c>
      <c r="C29" s="40"/>
    </row>
    <row r="30" spans="2:16" ht="24" customHeight="1" x14ac:dyDescent="0.25">
      <c r="B30" s="9" t="s">
        <v>88</v>
      </c>
      <c r="C30" s="95">
        <f>C26*C25</f>
        <v>46250</v>
      </c>
      <c r="D30" t="s">
        <v>42</v>
      </c>
    </row>
    <row r="31" spans="2:16" ht="24" customHeight="1" x14ac:dyDescent="0.25">
      <c r="B31" s="9" t="s">
        <v>89</v>
      </c>
      <c r="C31" s="96">
        <f>C27*C25*C26</f>
        <v>11562.5</v>
      </c>
    </row>
    <row r="32" spans="2:16" ht="24" customHeight="1" x14ac:dyDescent="0.25">
      <c r="B32" s="9"/>
      <c r="C32" s="95"/>
    </row>
    <row r="33" spans="2:7" ht="24" customHeight="1" thickBot="1" x14ac:dyDescent="0.3">
      <c r="B33" s="77" t="s">
        <v>43</v>
      </c>
      <c r="C33" s="97">
        <f>SUM(C30:C31)</f>
        <v>57812.5</v>
      </c>
    </row>
    <row r="34" spans="2:7" ht="24" customHeight="1" thickBot="1" x14ac:dyDescent="0.3">
      <c r="C34" s="75"/>
    </row>
    <row r="35" spans="2:7" ht="24" customHeight="1" x14ac:dyDescent="0.25">
      <c r="B35" s="76" t="s">
        <v>44</v>
      </c>
      <c r="C35" s="78"/>
      <c r="D35" t="s">
        <v>45</v>
      </c>
    </row>
    <row r="36" spans="2:7" ht="24" customHeight="1" x14ac:dyDescent="0.25">
      <c r="B36" s="9" t="s">
        <v>90</v>
      </c>
      <c r="C36" s="82">
        <v>0.05</v>
      </c>
    </row>
    <row r="37" spans="2:7" ht="24" customHeight="1" thickBot="1" x14ac:dyDescent="0.3">
      <c r="B37" s="16" t="s">
        <v>47</v>
      </c>
      <c r="C37" s="98">
        <f>C36*C25</f>
        <v>9250</v>
      </c>
    </row>
    <row r="38" spans="2:7" ht="24" customHeight="1" x14ac:dyDescent="0.25">
      <c r="C38" s="99"/>
      <c r="D38" s="26" t="s">
        <v>48</v>
      </c>
    </row>
    <row r="39" spans="2:7" x14ac:dyDescent="0.25">
      <c r="B39" t="s">
        <v>49</v>
      </c>
      <c r="C39" s="14">
        <f>D39*(C33-C37)</f>
        <v>13111.875</v>
      </c>
      <c r="D39" s="81">
        <v>0.27</v>
      </c>
      <c r="E39" t="s">
        <v>50</v>
      </c>
    </row>
    <row r="40" spans="2:7" x14ac:dyDescent="0.25">
      <c r="B40" t="s">
        <v>51</v>
      </c>
      <c r="C40" s="14">
        <f>D40*(C33-C37+C39)</f>
        <v>35154.393749999996</v>
      </c>
      <c r="D40" s="81">
        <v>0.56999999999999995</v>
      </c>
      <c r="E40" t="s">
        <v>52</v>
      </c>
    </row>
    <row r="41" spans="2:7" ht="24" customHeight="1" x14ac:dyDescent="0.25">
      <c r="C41" s="14"/>
    </row>
    <row r="42" spans="2:7" ht="19.5" customHeight="1" thickBot="1" x14ac:dyDescent="0.3">
      <c r="B42" s="74" t="s">
        <v>53</v>
      </c>
      <c r="C42" s="100">
        <f>(C33-C37)+C39+C40</f>
        <v>96828.768749999988</v>
      </c>
      <c r="D42" t="s">
        <v>54</v>
      </c>
    </row>
    <row r="43" spans="2:7" ht="15.75" thickTop="1" x14ac:dyDescent="0.25"/>
    <row r="44" spans="2:7" x14ac:dyDescent="0.25">
      <c r="B44" s="79" t="s">
        <v>55</v>
      </c>
      <c r="C44" s="80" t="s">
        <v>56</v>
      </c>
      <c r="D44" s="80" t="s">
        <v>57</v>
      </c>
      <c r="E44" s="106"/>
      <c r="F44" s="106"/>
      <c r="G44" s="106"/>
    </row>
    <row r="45" spans="2:7" x14ac:dyDescent="0.25">
      <c r="B45" s="83" t="s">
        <v>70</v>
      </c>
      <c r="C45" s="81">
        <v>0</v>
      </c>
      <c r="D45" s="94">
        <f>C45*$C$33</f>
        <v>0</v>
      </c>
      <c r="E45" s="106"/>
      <c r="F45" s="106"/>
      <c r="G45" s="106"/>
    </row>
    <row r="46" spans="2:7" x14ac:dyDescent="0.25">
      <c r="B46" s="83" t="s">
        <v>71</v>
      </c>
      <c r="C46" s="81">
        <v>0</v>
      </c>
      <c r="D46" s="94">
        <f>C46*$C$33</f>
        <v>0</v>
      </c>
      <c r="E46" s="106"/>
      <c r="F46" s="106"/>
      <c r="G46" s="106"/>
    </row>
    <row r="47" spans="2:7" x14ac:dyDescent="0.25">
      <c r="B47" s="83" t="s">
        <v>58</v>
      </c>
      <c r="C47" s="81">
        <v>0</v>
      </c>
      <c r="D47" s="94">
        <f t="shared" ref="D47:D51" si="0">C47*$C$33</f>
        <v>0</v>
      </c>
      <c r="E47" s="106"/>
      <c r="F47" s="106"/>
      <c r="G47" s="106"/>
    </row>
    <row r="48" spans="2:7" x14ac:dyDescent="0.25">
      <c r="B48" s="83" t="s">
        <v>59</v>
      </c>
      <c r="C48" s="81">
        <v>0</v>
      </c>
      <c r="D48" s="94">
        <f t="shared" si="0"/>
        <v>0</v>
      </c>
      <c r="E48" s="106"/>
      <c r="F48" s="106"/>
      <c r="G48" s="106"/>
    </row>
    <row r="49" spans="2:7" x14ac:dyDescent="0.25">
      <c r="B49" s="83" t="s">
        <v>60</v>
      </c>
      <c r="C49" s="81">
        <v>0</v>
      </c>
      <c r="D49" s="94">
        <f t="shared" si="0"/>
        <v>0</v>
      </c>
      <c r="E49" s="106"/>
      <c r="F49" s="106"/>
      <c r="G49" s="106"/>
    </row>
    <row r="50" spans="2:7" x14ac:dyDescent="0.25">
      <c r="B50" s="83" t="s">
        <v>61</v>
      </c>
      <c r="C50" s="81">
        <v>0</v>
      </c>
      <c r="D50" s="94">
        <f t="shared" si="0"/>
        <v>0</v>
      </c>
      <c r="E50" s="106"/>
      <c r="F50" s="106"/>
      <c r="G50" s="106"/>
    </row>
    <row r="51" spans="2:7" x14ac:dyDescent="0.25">
      <c r="B51" s="83" t="s">
        <v>62</v>
      </c>
      <c r="C51" s="81">
        <v>0</v>
      </c>
      <c r="D51" s="94">
        <f t="shared" si="0"/>
        <v>0</v>
      </c>
    </row>
    <row r="52" spans="2:7" ht="15.75" thickBot="1" x14ac:dyDescent="0.3"/>
    <row r="53" spans="2:7" ht="15.75" thickBot="1" x14ac:dyDescent="0.3">
      <c r="B53" s="91" t="s">
        <v>63</v>
      </c>
      <c r="C53" s="92">
        <f>C30-C37</f>
        <v>37000</v>
      </c>
    </row>
    <row r="54" spans="2:7" ht="15.75" thickBot="1" x14ac:dyDescent="0.3">
      <c r="B54" s="110" t="s">
        <v>85</v>
      </c>
      <c r="C54" s="111">
        <f>C30</f>
        <v>46250</v>
      </c>
    </row>
    <row r="56" spans="2:7" x14ac:dyDescent="0.25">
      <c r="B56" s="27" t="s">
        <v>86</v>
      </c>
    </row>
    <row r="58" spans="2:7" x14ac:dyDescent="0.25">
      <c r="B58" s="112" t="s">
        <v>87</v>
      </c>
    </row>
  </sheetData>
  <sheetProtection algorithmName="SHA-512" hashValue="XLv+qk46zz+XwdMdwEiM3ee9TnTd0qrvRJFCt5DQGrOrc1x3YIaPDU3YO3bfWSdDpI665nD3XDhJsqp6DrHqZQ==" saltValue="CLNFxI1cd8krx1egnKebmQ==" spinCount="100000" sheet="1" objects="1" scenarios="1"/>
  <protectedRanges>
    <protectedRange sqref="B9:G9 Q9:XFD9 B4:B8 C3:XFD7 N8:XFD8 E8:F8" name="Parameters"/>
    <protectedRange sqref="H9:P9" name="Parameters_1"/>
    <protectedRange sqref="B3" name="Parameters_2"/>
    <protectedRange sqref="K8:L8 G8:I8" name="Parameters_3"/>
    <protectedRange sqref="C36 D39:D40 D5 J5 O5 G8 L8 B45:C51" name="Range5"/>
  </protectedRanges>
  <mergeCells count="11">
    <mergeCell ref="E50:G50"/>
    <mergeCell ref="E45:G45"/>
    <mergeCell ref="E46:G46"/>
    <mergeCell ref="E47:G47"/>
    <mergeCell ref="E48:G48"/>
    <mergeCell ref="E49:G49"/>
    <mergeCell ref="B1:P1"/>
    <mergeCell ref="C11:D11"/>
    <mergeCell ref="F11:H11"/>
    <mergeCell ref="J11:M11"/>
    <mergeCell ref="E44:G44"/>
  </mergeCells>
  <phoneticPr fontId="12" type="noConversion"/>
  <printOptions horizontalCentered="1"/>
  <pageMargins left="0.45" right="0.45" top="0.5" bottom="0.5" header="0.3" footer="0.3"/>
  <pageSetup scale="74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FE0F09-6DB0-4E1D-9CCC-358173A6E70A}">
          <x14:formula1>
            <xm:f>Lists!$C$2:$C$12</xm:f>
          </x14:formula1>
          <xm:sqref>O5</xm:sqref>
        </x14:dataValidation>
        <x14:dataValidation type="list" allowBlank="1" showInputMessage="1" showErrorMessage="1" xr:uid="{C3B0E5E6-A700-4423-99F5-79A023FE0132}">
          <x14:formula1>
            <xm:f>Lists!$A$2:$A$5</xm:f>
          </x14:formula1>
          <xm:sqref>J5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03C1-AD1F-41A2-9381-9F4401B0BF72}">
  <sheetPr>
    <tabColor theme="8" tint="0.39997558519241921"/>
    <pageSetUpPr fitToPage="1"/>
  </sheetPr>
  <dimension ref="B1:P49"/>
  <sheetViews>
    <sheetView showGridLines="0" zoomScale="110" workbookViewId="0">
      <selection activeCell="G19" sqref="G19"/>
    </sheetView>
  </sheetViews>
  <sheetFormatPr defaultRowHeight="15" x14ac:dyDescent="0.25"/>
  <cols>
    <col min="1" max="1" width="2.5703125" customWidth="1"/>
    <col min="2" max="2" width="54" customWidth="1"/>
    <col min="3" max="3" width="17.42578125" customWidth="1"/>
    <col min="4" max="4" width="26.28515625" customWidth="1"/>
    <col min="5" max="5" width="2.85546875" customWidth="1"/>
    <col min="6" max="6" width="8.140625" customWidth="1"/>
    <col min="7" max="8" width="14.28515625" customWidth="1"/>
    <col min="9" max="9" width="2.7109375" customWidth="1"/>
    <col min="10" max="10" width="11.5703125" customWidth="1"/>
    <col min="11" max="11" width="14.85546875" customWidth="1"/>
    <col min="12" max="12" width="15.7109375" customWidth="1"/>
    <col min="13" max="13" width="9.7109375" bestFit="1" customWidth="1"/>
    <col min="14" max="14" width="2.28515625" customWidth="1"/>
    <col min="15" max="15" width="9.7109375" bestFit="1" customWidth="1"/>
    <col min="16" max="16" width="12.85546875" customWidth="1"/>
    <col min="17" max="17" width="2.5703125" customWidth="1"/>
    <col min="18" max="18" width="10" bestFit="1" customWidth="1"/>
  </cols>
  <sheetData>
    <row r="1" spans="2:16" ht="21" x14ac:dyDescent="0.35">
      <c r="B1" s="102" t="s">
        <v>64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2:16" ht="21.75" thickBot="1" x14ac:dyDescent="0.4"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6" ht="21" x14ac:dyDescent="0.35">
      <c r="B3" s="39" t="s">
        <v>65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40"/>
    </row>
    <row r="4" spans="2:16" ht="8.25" customHeight="1" thickBot="1" x14ac:dyDescent="0.4">
      <c r="B4" s="41"/>
      <c r="P4" s="10"/>
    </row>
    <row r="5" spans="2:16" ht="15.75" thickBot="1" x14ac:dyDescent="0.3">
      <c r="B5" s="9"/>
      <c r="C5" s="42" t="s">
        <v>66</v>
      </c>
      <c r="D5" s="109">
        <v>250000</v>
      </c>
      <c r="E5" s="42"/>
      <c r="F5" s="42"/>
      <c r="G5" s="42"/>
      <c r="H5" s="43" t="s">
        <v>3</v>
      </c>
      <c r="I5" s="42"/>
      <c r="J5" s="108">
        <v>0.25</v>
      </c>
      <c r="K5" s="42" t="s">
        <v>31</v>
      </c>
      <c r="M5" s="43" t="s">
        <v>4</v>
      </c>
      <c r="N5" s="42"/>
      <c r="O5" s="107">
        <v>0.25</v>
      </c>
      <c r="P5" s="70" t="s">
        <v>31</v>
      </c>
    </row>
    <row r="6" spans="2:16" ht="15.75" thickBot="1" x14ac:dyDescent="0.3">
      <c r="B6" s="16"/>
      <c r="C6" s="17"/>
      <c r="D6" s="17"/>
      <c r="E6" s="17"/>
      <c r="F6" s="17"/>
      <c r="G6" s="17"/>
      <c r="H6" s="50" t="s">
        <v>32</v>
      </c>
      <c r="I6" s="49" t="s">
        <v>33</v>
      </c>
      <c r="J6" s="49" t="s">
        <v>5</v>
      </c>
      <c r="K6" s="48" t="s">
        <v>34</v>
      </c>
      <c r="L6" s="17"/>
      <c r="M6" s="50" t="s">
        <v>32</v>
      </c>
      <c r="N6" s="49" t="s">
        <v>33</v>
      </c>
      <c r="O6" s="49" t="s">
        <v>6</v>
      </c>
      <c r="P6" s="51" t="s">
        <v>34</v>
      </c>
    </row>
    <row r="7" spans="2:16" ht="15.75" thickBot="1" x14ac:dyDescent="0.3">
      <c r="J7" s="26"/>
      <c r="O7" s="26"/>
    </row>
    <row r="8" spans="2:16" ht="15.75" thickBot="1" x14ac:dyDescent="0.3">
      <c r="C8" s="103" t="s">
        <v>7</v>
      </c>
      <c r="D8" s="104"/>
      <c r="F8" s="103" t="s">
        <v>8</v>
      </c>
      <c r="G8" s="105"/>
      <c r="H8" s="104"/>
      <c r="J8" s="103" t="s">
        <v>9</v>
      </c>
      <c r="K8" s="105"/>
      <c r="L8" s="105"/>
      <c r="M8" s="104"/>
    </row>
    <row r="9" spans="2:16" s="29" customFormat="1" ht="45.75" thickBot="1" x14ac:dyDescent="0.3">
      <c r="B9" s="65" t="s">
        <v>19</v>
      </c>
      <c r="C9" s="31" t="s">
        <v>10</v>
      </c>
      <c r="D9" s="31" t="s">
        <v>11</v>
      </c>
      <c r="E9" s="33"/>
      <c r="F9" s="31" t="s">
        <v>12</v>
      </c>
      <c r="G9" s="31" t="s">
        <v>13</v>
      </c>
      <c r="H9" s="31" t="s">
        <v>17</v>
      </c>
      <c r="I9" s="33"/>
      <c r="J9" s="31" t="s">
        <v>4</v>
      </c>
      <c r="K9" s="31" t="s">
        <v>15</v>
      </c>
      <c r="L9" s="31" t="s">
        <v>16</v>
      </c>
      <c r="M9" s="31" t="s">
        <v>17</v>
      </c>
      <c r="N9" s="33"/>
      <c r="O9" s="31" t="s">
        <v>18</v>
      </c>
      <c r="P9" s="34"/>
    </row>
    <row r="10" spans="2:16" ht="15.75" thickBot="1" x14ac:dyDescent="0.3">
      <c r="B10" s="3" t="s">
        <v>19</v>
      </c>
      <c r="C10" s="4">
        <v>1</v>
      </c>
      <c r="D10" s="5">
        <f>D5</f>
        <v>250000</v>
      </c>
      <c r="E10" s="6"/>
      <c r="F10" s="4">
        <f>+C10-J10</f>
        <v>0.75</v>
      </c>
      <c r="G10" s="5">
        <f>+D10</f>
        <v>250000</v>
      </c>
      <c r="H10" s="5">
        <f>+G10*F10</f>
        <v>187500</v>
      </c>
      <c r="I10" s="6"/>
      <c r="J10" s="19">
        <f>+O5</f>
        <v>0.25</v>
      </c>
      <c r="K10" s="7">
        <f>+$J$5</f>
        <v>0.25</v>
      </c>
      <c r="L10" s="5">
        <f>+D10*(1+K10)</f>
        <v>312500</v>
      </c>
      <c r="M10" s="8">
        <f>+J10*L10</f>
        <v>78125</v>
      </c>
      <c r="N10" s="6"/>
      <c r="O10" s="8">
        <f>+H10+M10</f>
        <v>265625</v>
      </c>
      <c r="P10" s="22">
        <f>+(O10-D10)/D10</f>
        <v>6.25E-2</v>
      </c>
    </row>
    <row r="11" spans="2:16" ht="5.25" customHeight="1" thickBot="1" x14ac:dyDescent="0.3">
      <c r="B11" s="9"/>
      <c r="C11" s="11"/>
      <c r="D11" s="12"/>
      <c r="F11" s="11"/>
      <c r="G11" s="12"/>
      <c r="H11" s="12"/>
      <c r="J11" s="4"/>
      <c r="K11" s="13"/>
      <c r="L11" s="5"/>
      <c r="M11" s="8"/>
      <c r="N11" s="6"/>
      <c r="O11" s="8"/>
      <c r="P11" s="69"/>
    </row>
    <row r="12" spans="2:16" ht="15.75" thickBot="1" x14ac:dyDescent="0.3">
      <c r="B12" s="16"/>
      <c r="C12" s="17"/>
      <c r="D12" s="17"/>
      <c r="E12" s="17"/>
      <c r="F12" s="17"/>
      <c r="G12" s="17"/>
      <c r="H12" s="17"/>
      <c r="I12" s="17"/>
      <c r="J12" s="17"/>
      <c r="K12" s="46"/>
      <c r="L12" s="52"/>
      <c r="M12" s="53" t="s">
        <v>20</v>
      </c>
      <c r="N12" s="54"/>
      <c r="O12" s="47">
        <f>+O10-D10</f>
        <v>15625</v>
      </c>
      <c r="P12" s="18"/>
    </row>
    <row r="14" spans="2:16" x14ac:dyDescent="0.25">
      <c r="B14" s="27" t="s">
        <v>84</v>
      </c>
    </row>
    <row r="16" spans="2:16" x14ac:dyDescent="0.25">
      <c r="B16" t="s">
        <v>66</v>
      </c>
      <c r="C16" s="86">
        <f>D5</f>
        <v>250000</v>
      </c>
    </row>
    <row r="17" spans="2:5" x14ac:dyDescent="0.25">
      <c r="B17" t="s">
        <v>39</v>
      </c>
      <c r="C17" s="87">
        <f>O5</f>
        <v>0.25</v>
      </c>
    </row>
    <row r="18" spans="2:5" x14ac:dyDescent="0.25">
      <c r="B18" t="s">
        <v>40</v>
      </c>
      <c r="C18" s="85">
        <f>J5</f>
        <v>0.25</v>
      </c>
    </row>
    <row r="19" spans="2:5" ht="15.75" thickBot="1" x14ac:dyDescent="0.3"/>
    <row r="20" spans="2:5" x14ac:dyDescent="0.25">
      <c r="B20" s="76" t="s">
        <v>67</v>
      </c>
      <c r="C20" s="40"/>
    </row>
    <row r="21" spans="2:5" x14ac:dyDescent="0.25">
      <c r="B21" s="9" t="s">
        <v>91</v>
      </c>
      <c r="C21" s="95">
        <f>C17*C16</f>
        <v>62500</v>
      </c>
    </row>
    <row r="22" spans="2:5" x14ac:dyDescent="0.25">
      <c r="B22" s="9" t="s">
        <v>92</v>
      </c>
      <c r="C22" s="96">
        <f>C18*C16*C17</f>
        <v>15625</v>
      </c>
    </row>
    <row r="23" spans="2:5" x14ac:dyDescent="0.25">
      <c r="B23" s="9"/>
      <c r="C23" s="95"/>
    </row>
    <row r="24" spans="2:5" ht="15.75" thickBot="1" x14ac:dyDescent="0.3">
      <c r="B24" s="77" t="s">
        <v>43</v>
      </c>
      <c r="C24" s="97">
        <f>SUM(C21:C22)</f>
        <v>78125</v>
      </c>
    </row>
    <row r="25" spans="2:5" ht="15.75" thickBot="1" x14ac:dyDescent="0.3">
      <c r="C25" s="75"/>
    </row>
    <row r="26" spans="2:5" x14ac:dyDescent="0.25">
      <c r="B26" s="76" t="s">
        <v>68</v>
      </c>
      <c r="C26" s="78"/>
    </row>
    <row r="27" spans="2:5" x14ac:dyDescent="0.25">
      <c r="B27" s="9" t="s">
        <v>46</v>
      </c>
      <c r="C27" s="82">
        <v>0.1</v>
      </c>
    </row>
    <row r="28" spans="2:5" ht="15.75" thickBot="1" x14ac:dyDescent="0.3">
      <c r="B28" s="16" t="s">
        <v>69</v>
      </c>
      <c r="C28" s="98">
        <f>C27*C16</f>
        <v>25000</v>
      </c>
    </row>
    <row r="29" spans="2:5" x14ac:dyDescent="0.25">
      <c r="C29" s="99"/>
      <c r="D29" s="26" t="s">
        <v>48</v>
      </c>
    </row>
    <row r="30" spans="2:5" x14ac:dyDescent="0.25">
      <c r="B30" t="s">
        <v>49</v>
      </c>
      <c r="C30" s="14">
        <f>D30*(C24-C28)</f>
        <v>14343.750000000002</v>
      </c>
      <c r="D30" s="81">
        <v>0.27</v>
      </c>
      <c r="E30" t="s">
        <v>50</v>
      </c>
    </row>
    <row r="31" spans="2:5" x14ac:dyDescent="0.25">
      <c r="B31" t="s">
        <v>51</v>
      </c>
      <c r="C31" s="14">
        <f>D31*(C24-C28+C30)</f>
        <v>38457.1875</v>
      </c>
      <c r="D31" s="81">
        <v>0.56999999999999995</v>
      </c>
      <c r="E31" t="s">
        <v>52</v>
      </c>
    </row>
    <row r="32" spans="2:5" x14ac:dyDescent="0.25">
      <c r="C32" s="14"/>
    </row>
    <row r="33" spans="2:7" ht="15.75" thickBot="1" x14ac:dyDescent="0.3">
      <c r="B33" s="74" t="s">
        <v>53</v>
      </c>
      <c r="C33" s="100">
        <f>(C24-C28)+C30+C31</f>
        <v>105925.9375</v>
      </c>
      <c r="D33" t="s">
        <v>54</v>
      </c>
    </row>
    <row r="34" spans="2:7" ht="15.75" thickTop="1" x14ac:dyDescent="0.25"/>
    <row r="35" spans="2:7" x14ac:dyDescent="0.25">
      <c r="B35" s="79" t="s">
        <v>55</v>
      </c>
      <c r="C35" s="80" t="s">
        <v>56</v>
      </c>
      <c r="D35" s="80" t="s">
        <v>57</v>
      </c>
      <c r="E35" s="106"/>
      <c r="F35" s="106"/>
      <c r="G35" s="106"/>
    </row>
    <row r="36" spans="2:7" x14ac:dyDescent="0.25">
      <c r="B36" s="83" t="s">
        <v>70</v>
      </c>
      <c r="C36" s="81">
        <v>0</v>
      </c>
      <c r="D36" s="94">
        <f>C36*$C$24</f>
        <v>0</v>
      </c>
      <c r="E36" s="106"/>
      <c r="F36" s="106"/>
      <c r="G36" s="106"/>
    </row>
    <row r="37" spans="2:7" x14ac:dyDescent="0.25">
      <c r="B37" s="83" t="s">
        <v>71</v>
      </c>
      <c r="C37" s="81">
        <v>0</v>
      </c>
      <c r="D37" s="94">
        <f t="shared" ref="D37:D42" si="0">C37*$C$24</f>
        <v>0</v>
      </c>
      <c r="E37" s="106"/>
      <c r="F37" s="106"/>
      <c r="G37" s="106"/>
    </row>
    <row r="38" spans="2:7" x14ac:dyDescent="0.25">
      <c r="B38" s="83" t="s">
        <v>58</v>
      </c>
      <c r="C38" s="81">
        <v>0</v>
      </c>
      <c r="D38" s="94">
        <f t="shared" si="0"/>
        <v>0</v>
      </c>
      <c r="E38" s="106"/>
      <c r="F38" s="106"/>
      <c r="G38" s="106"/>
    </row>
    <row r="39" spans="2:7" x14ac:dyDescent="0.25">
      <c r="B39" s="83" t="s">
        <v>59</v>
      </c>
      <c r="C39" s="81">
        <v>0</v>
      </c>
      <c r="D39" s="94">
        <f t="shared" si="0"/>
        <v>0</v>
      </c>
      <c r="E39" s="106"/>
      <c r="F39" s="106"/>
      <c r="G39" s="106"/>
    </row>
    <row r="40" spans="2:7" x14ac:dyDescent="0.25">
      <c r="B40" s="83" t="s">
        <v>60</v>
      </c>
      <c r="C40" s="81">
        <v>0</v>
      </c>
      <c r="D40" s="94">
        <f t="shared" si="0"/>
        <v>0</v>
      </c>
      <c r="E40" s="106"/>
      <c r="F40" s="106"/>
      <c r="G40" s="106"/>
    </row>
    <row r="41" spans="2:7" x14ac:dyDescent="0.25">
      <c r="B41" s="83" t="s">
        <v>61</v>
      </c>
      <c r="C41" s="81">
        <v>0</v>
      </c>
      <c r="D41" s="94">
        <f t="shared" si="0"/>
        <v>0</v>
      </c>
      <c r="E41" s="106"/>
      <c r="F41" s="106"/>
      <c r="G41" s="106"/>
    </row>
    <row r="42" spans="2:7" x14ac:dyDescent="0.25">
      <c r="B42" s="83" t="s">
        <v>62</v>
      </c>
      <c r="C42" s="81">
        <v>0</v>
      </c>
      <c r="D42" s="94">
        <f t="shared" si="0"/>
        <v>0</v>
      </c>
    </row>
    <row r="43" spans="2:7" ht="15.75" thickBot="1" x14ac:dyDescent="0.3"/>
    <row r="44" spans="2:7" ht="15.75" thickBot="1" x14ac:dyDescent="0.3">
      <c r="B44" s="91" t="s">
        <v>63</v>
      </c>
      <c r="C44" s="92">
        <f>C21-C28</f>
        <v>37500</v>
      </c>
    </row>
    <row r="45" spans="2:7" ht="15.75" thickBot="1" x14ac:dyDescent="0.3">
      <c r="B45" s="110" t="s">
        <v>85</v>
      </c>
      <c r="C45" s="111">
        <f>C21</f>
        <v>62500</v>
      </c>
    </row>
    <row r="47" spans="2:7" x14ac:dyDescent="0.25">
      <c r="B47" s="27" t="s">
        <v>86</v>
      </c>
    </row>
    <row r="49" spans="2:2" x14ac:dyDescent="0.25">
      <c r="B49" s="112" t="s">
        <v>87</v>
      </c>
    </row>
  </sheetData>
  <sheetProtection algorithmName="SHA-512" hashValue="eQzx3A5nSShw9xFd5mj0DRtNIOoajF82DTmI4olI7T+0QeMBlRaQcGAOn5x+wMM8DbcEuDVa6zPEksHiOS7DJw==" saltValue="Yj5ykPWy6qshPR29/zs3/A==" spinCount="100000" sheet="1" objects="1" scenarios="1"/>
  <protectedRanges>
    <protectedRange sqref="A3:XFD6" name="Parameters"/>
    <protectedRange sqref="D5 J5 O5 C27 D30:D31 B36:C42" name="Range2"/>
  </protectedRanges>
  <mergeCells count="11">
    <mergeCell ref="E41:G41"/>
    <mergeCell ref="E36:G36"/>
    <mergeCell ref="E37:G37"/>
    <mergeCell ref="E38:G38"/>
    <mergeCell ref="E39:G39"/>
    <mergeCell ref="E40:G40"/>
    <mergeCell ref="B1:P1"/>
    <mergeCell ref="C8:D8"/>
    <mergeCell ref="F8:H8"/>
    <mergeCell ref="J8:M8"/>
    <mergeCell ref="E35:G35"/>
  </mergeCells>
  <printOptions horizontalCentered="1"/>
  <pageMargins left="0.45" right="0.45" top="0.5" bottom="0.5" header="0.3" footer="0.3"/>
  <pageSetup scale="7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46A31CA-CE11-4749-9AE4-CFE8019F4EB8}">
          <x14:formula1>
            <xm:f>Lists!$A$2:$A$5</xm:f>
          </x14:formula1>
          <xm:sqref>J5</xm:sqref>
        </x14:dataValidation>
        <x14:dataValidation type="list" allowBlank="1" showInputMessage="1" showErrorMessage="1" xr:uid="{290C4FFD-914F-4A91-A6E4-990E79681450}">
          <x14:formula1>
            <xm:f>Lists!$C$2:$C$12</xm:f>
          </x14:formula1>
          <xm:sqref>O5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42F24-1D04-495A-9C84-1A235C5E90AF}">
  <sheetPr>
    <tabColor theme="8" tint="0.39997558519241921"/>
    <pageSetUpPr fitToPage="1"/>
  </sheetPr>
  <dimension ref="B1:P29"/>
  <sheetViews>
    <sheetView showGridLines="0" zoomScale="110" workbookViewId="0">
      <selection activeCell="A29" sqref="A29:XFD29"/>
    </sheetView>
  </sheetViews>
  <sheetFormatPr defaultRowHeight="15" x14ac:dyDescent="0.25"/>
  <cols>
    <col min="1" max="1" width="3.140625" customWidth="1"/>
    <col min="2" max="2" width="16.140625" customWidth="1"/>
    <col min="4" max="4" width="14.28515625" bestFit="1" customWidth="1"/>
    <col min="5" max="5" width="2.85546875" customWidth="1"/>
    <col min="6" max="6" width="8.140625" customWidth="1"/>
    <col min="7" max="8" width="14.28515625" customWidth="1"/>
    <col min="9" max="9" width="2.7109375" customWidth="1"/>
    <col min="10" max="10" width="11.5703125" customWidth="1"/>
    <col min="11" max="11" width="14.85546875" customWidth="1"/>
    <col min="12" max="12" width="15.7109375" customWidth="1"/>
    <col min="13" max="13" width="9.7109375" bestFit="1" customWidth="1"/>
    <col min="14" max="14" width="2.28515625" customWidth="1"/>
    <col min="15" max="15" width="10" bestFit="1" customWidth="1"/>
    <col min="16" max="16" width="14.42578125" bestFit="1" customWidth="1"/>
    <col min="17" max="17" width="2.5703125" customWidth="1"/>
    <col min="18" max="18" width="10" bestFit="1" customWidth="1"/>
  </cols>
  <sheetData>
    <row r="1" spans="2:16" ht="21" x14ac:dyDescent="0.35">
      <c r="B1" s="102" t="s">
        <v>29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2:16" ht="21.75" thickBot="1" x14ac:dyDescent="0.4"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6" ht="15.75" x14ac:dyDescent="0.25">
      <c r="B3" s="55" t="s">
        <v>30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40"/>
    </row>
    <row r="4" spans="2:16" ht="8.25" customHeight="1" thickBot="1" x14ac:dyDescent="0.4">
      <c r="B4" s="41"/>
      <c r="P4" s="10"/>
    </row>
    <row r="5" spans="2:16" ht="15.75" thickBot="1" x14ac:dyDescent="0.3">
      <c r="B5" s="9"/>
      <c r="C5" s="42" t="s">
        <v>2</v>
      </c>
      <c r="D5" s="36">
        <v>200000</v>
      </c>
      <c r="E5" s="42"/>
      <c r="F5" s="42"/>
      <c r="G5" s="42"/>
      <c r="H5" s="43" t="s">
        <v>3</v>
      </c>
      <c r="I5" s="42"/>
      <c r="J5" s="37">
        <v>0.2</v>
      </c>
      <c r="K5" s="42" t="s">
        <v>31</v>
      </c>
      <c r="M5" s="43" t="s">
        <v>4</v>
      </c>
      <c r="N5" s="42"/>
      <c r="O5" s="38">
        <v>0.25</v>
      </c>
      <c r="P5" s="70" t="s">
        <v>31</v>
      </c>
    </row>
    <row r="6" spans="2:16" x14ac:dyDescent="0.25">
      <c r="B6" s="9"/>
      <c r="C6" s="42"/>
      <c r="D6" s="61"/>
      <c r="E6" s="42"/>
      <c r="F6" s="42"/>
      <c r="G6" s="42"/>
      <c r="H6" s="58" t="s">
        <v>32</v>
      </c>
      <c r="I6" s="27" t="s">
        <v>33</v>
      </c>
      <c r="J6" s="59" t="s">
        <v>5</v>
      </c>
      <c r="K6" s="27" t="s">
        <v>34</v>
      </c>
      <c r="M6" s="58" t="s">
        <v>32</v>
      </c>
      <c r="N6" s="27" t="s">
        <v>33</v>
      </c>
      <c r="O6" s="60" t="s">
        <v>6</v>
      </c>
      <c r="P6" s="57" t="s">
        <v>35</v>
      </c>
    </row>
    <row r="7" spans="2:16" ht="9" customHeight="1" thickBot="1" x14ac:dyDescent="0.3">
      <c r="B7" s="9"/>
      <c r="C7" s="42"/>
      <c r="D7" s="62"/>
      <c r="E7" s="42"/>
      <c r="F7" s="42"/>
      <c r="G7" s="42"/>
      <c r="H7" s="58"/>
      <c r="I7" s="27"/>
      <c r="J7" s="63"/>
      <c r="K7" s="27"/>
      <c r="M7" s="58"/>
      <c r="N7" s="27"/>
      <c r="O7" s="64"/>
      <c r="P7" s="57"/>
    </row>
    <row r="8" spans="2:16" ht="15.75" thickBot="1" x14ac:dyDescent="0.3">
      <c r="B8" s="9"/>
      <c r="E8" s="42"/>
      <c r="F8" s="56" t="s">
        <v>36</v>
      </c>
      <c r="G8" s="38">
        <v>10</v>
      </c>
      <c r="H8" s="58"/>
      <c r="I8" s="42"/>
      <c r="K8" s="56" t="s">
        <v>37</v>
      </c>
      <c r="L8" s="38">
        <v>5</v>
      </c>
      <c r="N8" s="27"/>
      <c r="O8" s="64"/>
      <c r="P8" s="57"/>
    </row>
    <row r="9" spans="2:16" ht="15.75" thickBot="1" x14ac:dyDescent="0.3">
      <c r="B9" s="16"/>
      <c r="C9" s="17"/>
      <c r="D9" s="17"/>
      <c r="E9" s="17"/>
      <c r="F9" s="17"/>
      <c r="G9" s="17"/>
      <c r="H9" s="50"/>
      <c r="I9" s="49"/>
      <c r="J9" s="49"/>
      <c r="K9" s="48"/>
      <c r="L9" s="17"/>
      <c r="M9" s="50"/>
      <c r="N9" s="49"/>
      <c r="O9" s="49"/>
      <c r="P9" s="51"/>
    </row>
    <row r="10" spans="2:16" ht="15.75" thickBot="1" x14ac:dyDescent="0.3">
      <c r="J10" s="26"/>
      <c r="O10" s="26"/>
    </row>
    <row r="11" spans="2:16" ht="15.75" thickBot="1" x14ac:dyDescent="0.3">
      <c r="C11" s="103" t="s">
        <v>7</v>
      </c>
      <c r="D11" s="104"/>
      <c r="F11" s="103" t="s">
        <v>72</v>
      </c>
      <c r="G11" s="105"/>
      <c r="H11" s="104"/>
      <c r="J11" s="103" t="s">
        <v>73</v>
      </c>
      <c r="K11" s="105"/>
      <c r="L11" s="105"/>
      <c r="M11" s="104"/>
    </row>
    <row r="12" spans="2:16" s="29" customFormat="1" ht="45.75" thickBot="1" x14ac:dyDescent="0.3">
      <c r="B12" s="65" t="s">
        <v>74</v>
      </c>
      <c r="C12" s="31" t="s">
        <v>10</v>
      </c>
      <c r="D12" s="31" t="s">
        <v>11</v>
      </c>
      <c r="E12" s="33"/>
      <c r="F12" s="31" t="s">
        <v>12</v>
      </c>
      <c r="G12" s="31" t="s">
        <v>13</v>
      </c>
      <c r="H12" s="31" t="s">
        <v>17</v>
      </c>
      <c r="I12" s="33"/>
      <c r="J12" s="31" t="s">
        <v>4</v>
      </c>
      <c r="K12" s="31" t="s">
        <v>15</v>
      </c>
      <c r="L12" s="31" t="s">
        <v>16</v>
      </c>
      <c r="M12" s="31" t="s">
        <v>17</v>
      </c>
      <c r="N12" s="33"/>
      <c r="O12" s="31" t="s">
        <v>18</v>
      </c>
      <c r="P12" s="34"/>
    </row>
    <row r="13" spans="2:16" ht="15.75" thickBot="1" x14ac:dyDescent="0.3">
      <c r="B13" s="9" t="s">
        <v>21</v>
      </c>
      <c r="C13" s="11">
        <v>1</v>
      </c>
      <c r="D13" s="12">
        <f>+$D$5</f>
        <v>200000</v>
      </c>
      <c r="F13" s="11">
        <f>+C13-J13</f>
        <v>0.75</v>
      </c>
      <c r="G13" s="12">
        <f>+D13</f>
        <v>200000</v>
      </c>
      <c r="H13" s="12">
        <f>+G13*F13</f>
        <v>150000</v>
      </c>
      <c r="J13" s="19">
        <f>+O5</f>
        <v>0.25</v>
      </c>
      <c r="K13" s="13">
        <f>+$J$5</f>
        <v>0.2</v>
      </c>
      <c r="L13" s="12">
        <f>+D13*(1+K13)</f>
        <v>240000</v>
      </c>
      <c r="M13" s="14">
        <f>+J13*L13</f>
        <v>60000</v>
      </c>
      <c r="O13" s="14">
        <f>+H13+M13</f>
        <v>210000</v>
      </c>
      <c r="P13" s="22">
        <f>+(O13-D13)/D13</f>
        <v>0.05</v>
      </c>
    </row>
    <row r="14" spans="2:16" ht="6.75" customHeight="1" thickBot="1" x14ac:dyDescent="0.3">
      <c r="B14" s="9"/>
      <c r="C14" s="11"/>
      <c r="D14" s="12"/>
      <c r="F14" s="11"/>
      <c r="G14" s="12"/>
      <c r="H14" s="12"/>
      <c r="J14" s="4"/>
      <c r="K14" s="13"/>
      <c r="L14" s="12"/>
      <c r="M14" s="14"/>
      <c r="O14" s="14"/>
      <c r="P14" s="69"/>
    </row>
    <row r="15" spans="2:16" ht="15.75" thickBot="1" x14ac:dyDescent="0.3">
      <c r="B15" s="16" t="s">
        <v>22</v>
      </c>
      <c r="C15" s="17"/>
      <c r="D15" s="17"/>
      <c r="E15" s="17"/>
      <c r="F15" s="17"/>
      <c r="G15" s="17"/>
      <c r="H15" s="17"/>
      <c r="I15" s="17"/>
      <c r="J15" s="17"/>
      <c r="K15" s="46"/>
      <c r="L15" s="52"/>
      <c r="M15" s="53" t="s">
        <v>20</v>
      </c>
      <c r="N15" s="54"/>
      <c r="O15" s="47">
        <f>+O13-D13</f>
        <v>10000</v>
      </c>
      <c r="P15" s="18"/>
    </row>
    <row r="16" spans="2:16" x14ac:dyDescent="0.25">
      <c r="K16" s="13"/>
    </row>
    <row r="17" spans="2:16" ht="15.75" thickBot="1" x14ac:dyDescent="0.3"/>
    <row r="18" spans="2:16" ht="15.75" thickBot="1" x14ac:dyDescent="0.3">
      <c r="C18" s="103" t="s">
        <v>7</v>
      </c>
      <c r="D18" s="104"/>
      <c r="F18" s="103" t="s">
        <v>75</v>
      </c>
      <c r="G18" s="105"/>
      <c r="H18" s="104"/>
      <c r="J18" s="103" t="s">
        <v>76</v>
      </c>
      <c r="K18" s="105"/>
      <c r="L18" s="105"/>
      <c r="M18" s="104"/>
    </row>
    <row r="19" spans="2:16" ht="45.75" thickBot="1" x14ac:dyDescent="0.3">
      <c r="B19" s="65" t="s">
        <v>77</v>
      </c>
      <c r="C19" s="31" t="s">
        <v>10</v>
      </c>
      <c r="D19" s="31" t="s">
        <v>11</v>
      </c>
      <c r="E19" s="33"/>
      <c r="F19" s="31" t="s">
        <v>12</v>
      </c>
      <c r="G19" s="31" t="s">
        <v>13</v>
      </c>
      <c r="H19" s="31" t="s">
        <v>17</v>
      </c>
      <c r="I19" s="33"/>
      <c r="J19" s="31" t="s">
        <v>4</v>
      </c>
      <c r="K19" s="31" t="s">
        <v>15</v>
      </c>
      <c r="L19" s="31" t="s">
        <v>16</v>
      </c>
      <c r="M19" s="31" t="s">
        <v>17</v>
      </c>
      <c r="N19" s="33"/>
      <c r="O19" s="31" t="s">
        <v>18</v>
      </c>
      <c r="P19" s="34"/>
    </row>
    <row r="20" spans="2:16" ht="15.75" thickBot="1" x14ac:dyDescent="0.3">
      <c r="B20" s="9" t="s">
        <v>21</v>
      </c>
      <c r="C20" s="11">
        <v>1</v>
      </c>
      <c r="D20" s="12">
        <f>+$D$5</f>
        <v>200000</v>
      </c>
      <c r="F20" s="11">
        <f>+C20-J20</f>
        <v>0.75</v>
      </c>
      <c r="G20" s="12">
        <f>+D20</f>
        <v>200000</v>
      </c>
      <c r="H20" s="12">
        <f>+G20*F20</f>
        <v>150000</v>
      </c>
      <c r="J20" s="19">
        <f>+O5</f>
        <v>0.25</v>
      </c>
      <c r="K20" s="13">
        <f>+$J$5</f>
        <v>0.2</v>
      </c>
      <c r="L20" s="12">
        <f>+D20*(1+K20)</f>
        <v>240000</v>
      </c>
      <c r="M20" s="14">
        <f>+J20*L20</f>
        <v>60000</v>
      </c>
      <c r="O20" s="14">
        <f>+H20+M20</f>
        <v>210000</v>
      </c>
      <c r="P20" s="15">
        <f>+(O20-D20)/D20</f>
        <v>0.05</v>
      </c>
    </row>
    <row r="21" spans="2:16" ht="3.75" customHeight="1" x14ac:dyDescent="0.25">
      <c r="B21" s="9"/>
      <c r="C21" s="11"/>
      <c r="D21" s="12"/>
      <c r="F21" s="11"/>
      <c r="G21" s="12"/>
      <c r="H21" s="12"/>
      <c r="J21" s="4"/>
      <c r="K21" s="13"/>
      <c r="L21" s="12"/>
      <c r="M21" s="14"/>
      <c r="O21" s="14"/>
      <c r="P21" s="15"/>
    </row>
    <row r="22" spans="2:16" ht="15.75" thickBot="1" x14ac:dyDescent="0.3">
      <c r="B22" s="9"/>
      <c r="C22" s="67" t="s">
        <v>38</v>
      </c>
      <c r="D22" s="12"/>
      <c r="F22" s="67" t="s">
        <v>38</v>
      </c>
      <c r="G22" s="12"/>
      <c r="H22" s="12"/>
      <c r="J22" s="68"/>
      <c r="K22" s="67" t="s">
        <v>38</v>
      </c>
      <c r="L22" s="12"/>
      <c r="M22" s="14"/>
      <c r="O22" s="14"/>
      <c r="P22" s="15"/>
    </row>
    <row r="23" spans="2:16" ht="15.75" thickBot="1" x14ac:dyDescent="0.3">
      <c r="B23" s="9" t="s">
        <v>23</v>
      </c>
      <c r="C23" s="11">
        <f>G8</f>
        <v>10</v>
      </c>
      <c r="D23" s="1">
        <f>+D20*0.02778*C23</f>
        <v>55560</v>
      </c>
      <c r="F23" s="11">
        <f>C23-K23</f>
        <v>5</v>
      </c>
      <c r="G23" s="14">
        <f>+G20</f>
        <v>200000</v>
      </c>
      <c r="H23" s="12">
        <f>((+D20)*0.02778)*F23</f>
        <v>27780</v>
      </c>
      <c r="J23" s="19">
        <v>1</v>
      </c>
      <c r="K23" s="11">
        <f>L8</f>
        <v>5</v>
      </c>
      <c r="L23" s="12">
        <f>+L20</f>
        <v>240000</v>
      </c>
      <c r="M23" s="12">
        <f>((+L23)*0.02778)*K23</f>
        <v>33336</v>
      </c>
      <c r="O23" s="2">
        <f>+M23+H23</f>
        <v>61116</v>
      </c>
      <c r="P23" s="15">
        <f>IF(K23&gt;0,(+(O23-D23)/D23),0)</f>
        <v>0.1</v>
      </c>
    </row>
    <row r="24" spans="2:16" ht="15.75" thickBot="1" x14ac:dyDescent="0.3">
      <c r="B24" s="9"/>
      <c r="D24" s="14">
        <f>SUM(D20:D23)</f>
        <v>255560</v>
      </c>
      <c r="G24" s="26" t="s">
        <v>26</v>
      </c>
      <c r="O24" s="14">
        <f>SUM(O20:O23)</f>
        <v>271116</v>
      </c>
      <c r="P24" s="22">
        <f>+(O24-D24)/D24</f>
        <v>6.0870245734856783E-2</v>
      </c>
    </row>
    <row r="25" spans="2:16" ht="5.25" customHeight="1" thickBot="1" x14ac:dyDescent="0.3">
      <c r="B25" s="9"/>
      <c r="D25" s="14"/>
      <c r="O25" s="14"/>
      <c r="P25" s="69"/>
    </row>
    <row r="26" spans="2:16" ht="15.75" thickBot="1" x14ac:dyDescent="0.3"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52"/>
      <c r="M26" s="53" t="s">
        <v>20</v>
      </c>
      <c r="N26" s="54"/>
      <c r="O26" s="47">
        <f>+O24-D24</f>
        <v>15556</v>
      </c>
      <c r="P26" s="18"/>
    </row>
    <row r="28" spans="2:16" x14ac:dyDescent="0.25">
      <c r="B28" s="27" t="s">
        <v>27</v>
      </c>
    </row>
    <row r="29" spans="2:16" s="72" customFormat="1" x14ac:dyDescent="0.25">
      <c r="B29" s="71" t="s">
        <v>78</v>
      </c>
    </row>
  </sheetData>
  <protectedRanges>
    <protectedRange sqref="B9:G9 Q9:XFD9 B3:B8 C3:XFD7 N8:XFD8 K8:L8 E8:I8" name="Parameters"/>
    <protectedRange sqref="H9:P9" name="Parameters_1"/>
  </protectedRanges>
  <mergeCells count="7">
    <mergeCell ref="J11:M11"/>
    <mergeCell ref="F11:H11"/>
    <mergeCell ref="C11:D11"/>
    <mergeCell ref="B1:P1"/>
    <mergeCell ref="C18:D18"/>
    <mergeCell ref="F18:H18"/>
    <mergeCell ref="J18:M18"/>
  </mergeCells>
  <printOptions horizontalCentered="1"/>
  <pageMargins left="0.45" right="0.45" top="0.5" bottom="0.5" header="0.3" footer="0.3"/>
  <pageSetup scale="74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60757E7-82B7-457B-82FB-9732E76472A8}">
          <x14:formula1>
            <xm:f>Lists!$A$2:$A$5</xm:f>
          </x14:formula1>
          <xm:sqref>J5</xm:sqref>
        </x14:dataValidation>
        <x14:dataValidation type="list" allowBlank="1" showInputMessage="1" showErrorMessage="1" xr:uid="{EC62EB13-AE02-4251-AA28-3D0A108692D9}">
          <x14:formula1>
            <xm:f>Lists!$C$2:$C$12</xm:f>
          </x14:formula1>
          <xm:sqref>O5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2AF1-7749-4BAD-A82E-3C08871DCBEA}">
  <dimension ref="A1:C4"/>
  <sheetViews>
    <sheetView workbookViewId="0">
      <selection activeCell="A2" sqref="A2"/>
    </sheetView>
  </sheetViews>
  <sheetFormatPr defaultRowHeight="15" x14ac:dyDescent="0.25"/>
  <cols>
    <col min="1" max="1" width="16.85546875" bestFit="1" customWidth="1"/>
    <col min="2" max="2" width="11" bestFit="1" customWidth="1"/>
    <col min="3" max="3" width="105.140625" customWidth="1"/>
  </cols>
  <sheetData>
    <row r="1" spans="1:3" x14ac:dyDescent="0.25">
      <c r="A1" s="42" t="s">
        <v>79</v>
      </c>
      <c r="B1" s="42" t="s">
        <v>80</v>
      </c>
      <c r="C1" s="42" t="s">
        <v>81</v>
      </c>
    </row>
    <row r="2" spans="1:3" x14ac:dyDescent="0.25">
      <c r="B2" s="101"/>
      <c r="C2" s="29"/>
    </row>
    <row r="3" spans="1:3" x14ac:dyDescent="0.25">
      <c r="B3" s="101"/>
      <c r="C3" s="29"/>
    </row>
    <row r="4" spans="1:3" x14ac:dyDescent="0.25">
      <c r="C4" s="29"/>
    </row>
  </sheetData>
  <protectedRanges>
    <protectedRange sqref="A2:B3" name="Range5"/>
  </protectedRange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753EE-88CF-46B5-846D-3F6F225A85F5}">
  <dimension ref="A1:C12"/>
  <sheetViews>
    <sheetView workbookViewId="0">
      <selection activeCell="C2" sqref="C2"/>
    </sheetView>
  </sheetViews>
  <sheetFormatPr defaultRowHeight="15" x14ac:dyDescent="0.25"/>
  <cols>
    <col min="1" max="1" width="31.42578125" bestFit="1" customWidth="1"/>
    <col min="3" max="3" width="19" bestFit="1" customWidth="1"/>
  </cols>
  <sheetData>
    <row r="1" spans="1:3" x14ac:dyDescent="0.25">
      <c r="A1" t="s">
        <v>3</v>
      </c>
      <c r="C1" t="s">
        <v>82</v>
      </c>
    </row>
    <row r="2" spans="1:3" x14ac:dyDescent="0.25">
      <c r="A2" s="45">
        <v>0.1</v>
      </c>
      <c r="C2" s="11">
        <v>0.25</v>
      </c>
    </row>
    <row r="3" spans="1:3" x14ac:dyDescent="0.25">
      <c r="A3" s="45">
        <v>0.15</v>
      </c>
      <c r="C3" s="11">
        <v>0.3</v>
      </c>
    </row>
    <row r="4" spans="1:3" x14ac:dyDescent="0.25">
      <c r="A4" s="45">
        <v>0.2</v>
      </c>
      <c r="C4" s="11">
        <v>0.35</v>
      </c>
    </row>
    <row r="5" spans="1:3" x14ac:dyDescent="0.25">
      <c r="A5" s="45">
        <v>0.25</v>
      </c>
      <c r="C5" s="11">
        <v>0.4</v>
      </c>
    </row>
    <row r="6" spans="1:3" x14ac:dyDescent="0.25">
      <c r="C6" s="11">
        <v>0.45</v>
      </c>
    </row>
    <row r="7" spans="1:3" x14ac:dyDescent="0.25">
      <c r="C7" s="11">
        <v>0.5</v>
      </c>
    </row>
    <row r="8" spans="1:3" x14ac:dyDescent="0.25">
      <c r="C8" s="11">
        <v>0.55000000000000004</v>
      </c>
    </row>
    <row r="9" spans="1:3" x14ac:dyDescent="0.25">
      <c r="C9" s="11">
        <v>0.6</v>
      </c>
    </row>
    <row r="10" spans="1:3" x14ac:dyDescent="0.25">
      <c r="C10" s="11">
        <v>0.65</v>
      </c>
    </row>
    <row r="11" spans="1:3" x14ac:dyDescent="0.25">
      <c r="C11" s="11">
        <v>0.7</v>
      </c>
    </row>
    <row r="12" spans="1:3" x14ac:dyDescent="0.25">
      <c r="C12" s="11">
        <v>0.75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AEF91418DF1244826008F994046AD7" ma:contentTypeVersion="4" ma:contentTypeDescription="Create a new document." ma:contentTypeScope="" ma:versionID="494ba74e193fdd45876f073b736d1bb5">
  <xsd:schema xmlns:xsd="http://www.w3.org/2001/XMLSchema" xmlns:xs="http://www.w3.org/2001/XMLSchema" xmlns:p="http://schemas.microsoft.com/office/2006/metadata/properties" xmlns:ns2="59967751-6d4e-4cf9-97fe-7d3ff8c3877b" targetNamespace="http://schemas.microsoft.com/office/2006/metadata/properties" ma:root="true" ma:fieldsID="f77925911271f258987cc8757920072f" ns2:_="">
    <xsd:import namespace="59967751-6d4e-4cf9-97fe-7d3ff8c387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67751-6d4e-4cf9-97fe-7d3ff8c387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130B10-F726-4136-8ABE-A97E117D6A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DCDA3A-D033-4454-9DA7-8FB98519EC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967751-6d4e-4cf9-97fe-7d3ff8c387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61BFE0-ED4A-4B38-AFB9-6434FC3E97B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Original</vt:lpstr>
      <vt:lpstr>AY</vt:lpstr>
      <vt:lpstr>FY</vt:lpstr>
      <vt:lpstr>AY_Option 1</vt:lpstr>
      <vt:lpstr>Notes</vt:lpstr>
      <vt:lpstr>Lists</vt:lpstr>
      <vt:lpstr>AY!Print_Area</vt:lpstr>
      <vt:lpstr>'AY_Option 1'!Print_Area</vt:lpstr>
      <vt:lpstr>FY!Print_Area</vt:lpstr>
      <vt:lpstr>Original!Print_Area</vt:lpstr>
    </vt:vector>
  </TitlesOfParts>
  <Manager/>
  <Company>Purdue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Sandel, Ken L.</dc:creator>
  <cp:keywords/>
  <dc:description/>
  <cp:lastModifiedBy>Guinn, Melissa J.</cp:lastModifiedBy>
  <cp:revision/>
  <dcterms:created xsi:type="dcterms:W3CDTF">2023-02-18T21:04:45Z</dcterms:created>
  <dcterms:modified xsi:type="dcterms:W3CDTF">2025-02-18T01:46:45Z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44bd30-2ed7-4c9d-9d12-46200872a97b_Enabled">
    <vt:lpwstr>true</vt:lpwstr>
  </property>
  <property fmtid="{D5CDD505-2E9C-101B-9397-08002B2CF9AE}" pid="3" name="MSIP_Label_4044bd30-2ed7-4c9d-9d12-46200872a97b_SetDate">
    <vt:lpwstr>2023-05-04T16:40:26Z</vt:lpwstr>
  </property>
  <property fmtid="{D5CDD505-2E9C-101B-9397-08002B2CF9AE}" pid="4" name="MSIP_Label_4044bd30-2ed7-4c9d-9d12-46200872a97b_Method">
    <vt:lpwstr>Standard</vt:lpwstr>
  </property>
  <property fmtid="{D5CDD505-2E9C-101B-9397-08002B2CF9AE}" pid="5" name="MSIP_Label_4044bd30-2ed7-4c9d-9d12-46200872a97b_Name">
    <vt:lpwstr>defa4170-0d19-0005-0004-bc88714345d2</vt:lpwstr>
  </property>
  <property fmtid="{D5CDD505-2E9C-101B-9397-08002B2CF9AE}" pid="6" name="MSIP_Label_4044bd30-2ed7-4c9d-9d12-46200872a97b_SiteId">
    <vt:lpwstr>4130bd39-7c53-419c-b1e5-8758d6d63f21</vt:lpwstr>
  </property>
  <property fmtid="{D5CDD505-2E9C-101B-9397-08002B2CF9AE}" pid="7" name="MSIP_Label_4044bd30-2ed7-4c9d-9d12-46200872a97b_ActionId">
    <vt:lpwstr>c905fa6c-b094-4b13-8f17-22554ea1b11d</vt:lpwstr>
  </property>
  <property fmtid="{D5CDD505-2E9C-101B-9397-08002B2CF9AE}" pid="8" name="MSIP_Label_4044bd30-2ed7-4c9d-9d12-46200872a97b_ContentBits">
    <vt:lpwstr>0</vt:lpwstr>
  </property>
  <property fmtid="{D5CDD505-2E9C-101B-9397-08002B2CF9AE}" pid="9" name="ContentTypeId">
    <vt:lpwstr>0x01010011AEF91418DF1244826008F994046AD7</vt:lpwstr>
  </property>
</Properties>
</file>